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Mi\Downloads\"/>
    </mc:Choice>
  </mc:AlternateContent>
  <xr:revisionPtr revIDLastSave="0" documentId="8_{DC60BDB5-0C70-4020-8ED5-2CE0252891A9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бесплатно" sheetId="1" r:id="rId1"/>
    <sheet name="платно" sheetId="2" r:id="rId2"/>
  </sheets>
  <definedNames>
    <definedName name="_xlnm.Print_Area" localSheetId="0">бесплатно!$A$1:$J$45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J28" i="2"/>
  <c r="I29" i="2"/>
  <c r="I28" i="2"/>
  <c r="H29" i="2"/>
  <c r="H28" i="2"/>
  <c r="G29" i="2"/>
  <c r="G28" i="2"/>
  <c r="F29" i="2"/>
  <c r="F23" i="2"/>
  <c r="J21" i="2"/>
  <c r="J20" i="2"/>
  <c r="I21" i="2"/>
  <c r="I20" i="2"/>
  <c r="H21" i="2"/>
  <c r="H20" i="2"/>
  <c r="G21" i="2"/>
  <c r="G20" i="2"/>
  <c r="F21" i="2"/>
  <c r="J14" i="2"/>
  <c r="I14" i="2"/>
  <c r="H14" i="2"/>
  <c r="G14" i="2"/>
  <c r="J8" i="2"/>
  <c r="I8" i="2"/>
  <c r="H8" i="2"/>
  <c r="G8" i="2"/>
  <c r="F4" i="2"/>
  <c r="F39" i="1"/>
  <c r="F37" i="1"/>
  <c r="F28" i="1"/>
  <c r="F25" i="1"/>
  <c r="F18" i="1"/>
  <c r="F16" i="1"/>
  <c r="F7" i="1"/>
  <c r="F4" i="1"/>
  <c r="J7" i="2" l="1"/>
  <c r="I7" i="2"/>
  <c r="H7" i="2"/>
  <c r="G7" i="2"/>
  <c r="F7" i="2"/>
  <c r="J29" i="1" l="1"/>
  <c r="I29" i="1"/>
  <c r="H29" i="1"/>
  <c r="G29" i="1"/>
  <c r="J28" i="1"/>
  <c r="I28" i="1"/>
  <c r="H28" i="1"/>
  <c r="G28" i="1"/>
  <c r="J8" i="1"/>
  <c r="I8" i="1"/>
  <c r="H8" i="1"/>
  <c r="G8" i="1"/>
  <c r="J7" i="1"/>
  <c r="I7" i="1"/>
  <c r="H7" i="1"/>
  <c r="G7" i="1"/>
  <c r="J25" i="2" l="1"/>
  <c r="I25" i="2"/>
  <c r="H25" i="2"/>
  <c r="G25" i="2"/>
  <c r="J26" i="2"/>
  <c r="I26" i="2"/>
  <c r="H26" i="2"/>
  <c r="G26" i="2"/>
  <c r="F26" i="2"/>
  <c r="J24" i="2"/>
  <c r="I24" i="2"/>
  <c r="H24" i="2"/>
  <c r="G24" i="2"/>
  <c r="F24" i="2"/>
  <c r="J18" i="2"/>
  <c r="I18" i="2"/>
  <c r="H18" i="2"/>
  <c r="G18" i="2"/>
  <c r="F18" i="2"/>
  <c r="F16" i="2"/>
  <c r="J12" i="2"/>
  <c r="I12" i="2"/>
  <c r="H12" i="2"/>
  <c r="G12" i="2"/>
  <c r="F12" i="2"/>
  <c r="F10" i="2"/>
  <c r="F6" i="2"/>
  <c r="J32" i="1"/>
  <c r="I32" i="1"/>
  <c r="H32" i="1"/>
  <c r="G32" i="1"/>
  <c r="F27" i="1"/>
  <c r="J11" i="1"/>
  <c r="I11" i="1"/>
  <c r="H11" i="1"/>
  <c r="G11" i="1"/>
  <c r="F13" i="1"/>
  <c r="F6" i="1"/>
  <c r="J16" i="2" l="1"/>
  <c r="I16" i="2"/>
  <c r="H16" i="2"/>
  <c r="G16" i="2"/>
  <c r="J21" i="1" l="1"/>
  <c r="J20" i="1"/>
  <c r="I21" i="1"/>
  <c r="I20" i="1"/>
  <c r="H21" i="1"/>
  <c r="H20" i="1"/>
  <c r="G21" i="1"/>
  <c r="G20" i="1"/>
  <c r="J10" i="2" l="1"/>
  <c r="I10" i="2"/>
  <c r="H10" i="2"/>
  <c r="G10" i="2"/>
  <c r="F21" i="1"/>
  <c r="F20" i="1"/>
  <c r="F42" i="1" l="1"/>
  <c r="F41" i="1"/>
  <c r="I34" i="1"/>
  <c r="H34" i="1"/>
  <c r="G34" i="1"/>
  <c r="F34" i="1"/>
  <c r="I13" i="1"/>
  <c r="H13" i="1"/>
  <c r="G13" i="1"/>
  <c r="J42" i="1" l="1"/>
  <c r="J41" i="1"/>
  <c r="I42" i="1"/>
  <c r="I41" i="1"/>
  <c r="H42" i="1"/>
  <c r="H41" i="1"/>
  <c r="G42" i="1"/>
  <c r="G41" i="1"/>
  <c r="J33" i="1"/>
  <c r="I33" i="1"/>
  <c r="H33" i="1"/>
  <c r="G33" i="1"/>
  <c r="F15" i="2" l="1"/>
  <c r="J15" i="2"/>
  <c r="I15" i="2"/>
  <c r="H15" i="2"/>
  <c r="G15" i="2"/>
  <c r="J18" i="1" l="1"/>
  <c r="I18" i="1"/>
  <c r="H18" i="1"/>
  <c r="G18" i="1"/>
  <c r="F30" i="1" l="1"/>
  <c r="J12" i="1"/>
  <c r="I12" i="1"/>
  <c r="H12" i="1"/>
  <c r="G12" i="1"/>
  <c r="F22" i="2" l="1"/>
  <c r="J9" i="2"/>
  <c r="I9" i="2"/>
  <c r="F9" i="2"/>
  <c r="G9" i="2"/>
  <c r="H9" i="2"/>
  <c r="J36" i="1"/>
  <c r="I36" i="1"/>
  <c r="H36" i="1"/>
  <c r="G36" i="1"/>
  <c r="F14" i="1"/>
  <c r="F35" i="1" l="1"/>
  <c r="F30" i="2" l="1"/>
  <c r="F9" i="1" l="1"/>
  <c r="J30" i="2"/>
  <c r="I30" i="2"/>
  <c r="H30" i="2"/>
  <c r="G30" i="2"/>
  <c r="G35" i="1" l="1"/>
  <c r="J35" i="1"/>
  <c r="I35" i="1"/>
  <c r="H35" i="1"/>
  <c r="G9" i="1" l="1"/>
  <c r="G22" i="2" l="1"/>
  <c r="I30" i="1"/>
  <c r="G30" i="1"/>
  <c r="H22" i="2"/>
  <c r="J30" i="1" l="1"/>
  <c r="H30" i="1"/>
  <c r="G22" i="1"/>
  <c r="J43" i="1" l="1"/>
  <c r="H43" i="1"/>
  <c r="G43" i="1"/>
  <c r="G14" i="1"/>
  <c r="I43" i="1" l="1"/>
  <c r="J22" i="2"/>
  <c r="I22" i="2"/>
  <c r="H9" i="1" l="1"/>
  <c r="J9" i="1" l="1"/>
  <c r="I9" i="1" l="1"/>
  <c r="J22" i="1"/>
  <c r="I22" i="1"/>
  <c r="H22" i="1"/>
  <c r="J14" i="1"/>
  <c r="I14" i="1"/>
  <c r="H14" i="1"/>
</calcChain>
</file>

<file path=xl/sharedStrings.xml><?xml version="1.0" encoding="utf-8"?>
<sst xmlns="http://schemas.openxmlformats.org/spreadsheetml/2006/main" count="219" uniqueCount="65">
  <si>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</si>
  <si>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</si>
  <si>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</si>
  <si>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</si>
  <si>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</si>
  <si>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</si>
  <si>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</si>
  <si>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</si>
  <si>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</si>
  <si>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</si>
  <si>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</si>
  <si>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</si>
  <si>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</si>
  <si>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</si>
  <si>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</si>
  <si>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</si>
  <si>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</si>
  <si>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</si>
  <si>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</si>
  <si>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</si>
  <si>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</si>
  <si>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</si>
  <si>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</si>
  <si>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</si>
  <si>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корп</t>
  </si>
  <si>
    <t>Бухгалтер калькулятор _______________________________</t>
  </si>
  <si>
    <t>За наличный расчет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</si>
  <si>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</si>
  <si>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</si>
  <si>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</si>
  <si>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</si>
  <si>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Макаронник с мясом</t>
  </si>
  <si>
    <t>Чай с сахаром</t>
  </si>
  <si>
    <t>добавки</t>
  </si>
  <si>
    <t>добавка</t>
  </si>
  <si>
    <t>60</t>
  </si>
  <si>
    <t>Батон</t>
  </si>
  <si>
    <t>гарнир</t>
  </si>
  <si>
    <t>Суп картофельный с мясными фрикадельками из говядины</t>
  </si>
  <si>
    <t>Тефтели</t>
  </si>
  <si>
    <t>90</t>
  </si>
  <si>
    <t>Компот из смеси сухофруктов</t>
  </si>
  <si>
    <t>Вафли</t>
  </si>
  <si>
    <t>100</t>
  </si>
  <si>
    <t>75/75</t>
  </si>
  <si>
    <t>6-11 лет</t>
  </si>
  <si>
    <t>12-18 лет</t>
  </si>
  <si>
    <t>День 10</t>
  </si>
  <si>
    <t>Капуста тушеная/пюре картофельное</t>
  </si>
  <si>
    <t>Чай с молоком сгущенным</t>
  </si>
  <si>
    <t>Масло сливочное (порциями)</t>
  </si>
  <si>
    <t>Сыр (порциями)</t>
  </si>
  <si>
    <t>90/90</t>
  </si>
  <si>
    <t>Пюре картофельное</t>
  </si>
  <si>
    <t>Сок</t>
  </si>
  <si>
    <t>150</t>
  </si>
  <si>
    <t>30</t>
  </si>
  <si>
    <t>240/10</t>
  </si>
  <si>
    <t>20</t>
  </si>
  <si>
    <t>Соус сметанный с томатом</t>
  </si>
  <si>
    <t>235/15</t>
  </si>
  <si>
    <t>34</t>
  </si>
  <si>
    <t>35</t>
  </si>
  <si>
    <t>Кукуруза консервированная отварная</t>
  </si>
  <si>
    <t>МБОУ Элитовская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</si>
</sst>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2" fontId="0" fillId="0" borderId="16" xfId="0" applyNumberFormat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0" fontId="5" fillId="0" borderId="9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>
      <alignment horizontal="center"/>
    </xf>
    <xf numFmtId="2" fontId="0" fillId="0" borderId="19" xfId="0" applyNumberFormat="1" applyBorder="1" applyProtection="1">
      <protection locked="0"/>
    </xf>
    <xf numFmtId="0" fontId="3" fillId="0" borderId="20" xfId="0" applyFont="1" applyBorder="1"/>
    <xf numFmtId="0" fontId="4" fillId="0" borderId="20" xfId="0" applyFont="1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2" fontId="5" fillId="0" borderId="18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2" xfId="0" applyBorder="1"/>
    <xf numFmtId="0" fontId="0" fillId="0" borderId="27" xfId="0" applyBorder="1" applyProtection="1">
      <protection locked="0"/>
    </xf>
    <xf numFmtId="0" fontId="0" fillId="0" borderId="28" xfId="0" applyBorder="1"/>
    <xf numFmtId="0" fontId="0" fillId="0" borderId="13" xfId="0" applyBorder="1" applyProtection="1">
      <protection locked="0"/>
    </xf>
    <xf numFmtId="0" fontId="0" fillId="0" borderId="30" xfId="0" applyBorder="1"/>
    <xf numFmtId="0" fontId="3" fillId="0" borderId="31" xfId="0" applyFont="1" applyBorder="1"/>
    <xf numFmtId="0" fontId="0" fillId="0" borderId="29" xfId="0" applyBorder="1" applyAlignment="1">
      <alignment horizontal="left" vertical="center"/>
    </xf>
    <xf numFmtId="49" fontId="0" fillId="0" borderId="0" xfId="0" applyNumberFormat="1"/>
    <xf numFmtId="0" fontId="0" fillId="0" borderId="32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3" xfId="0" applyFont="1" applyBorder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6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wrapText="1"/>
      <protection locked="0"/>
    </xf>
    <xf numFmtId="2" fontId="0" fillId="0" borderId="9" xfId="0" applyNumberFormat="1" applyBorder="1" applyAlignment="1">
      <alignment horizontal="right" vertical="center" wrapText="1"/>
    </xf>
    <xf numFmtId="2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0" fontId="0" fillId="0" borderId="36" xfId="0" applyBorder="1" applyAlignment="1">
      <alignment horizontal="left" vertical="center"/>
    </xf>
    <xf numFmtId="0" fontId="0" fillId="0" borderId="31" xfId="0" applyBorder="1"/>
    <xf numFmtId="0" fontId="3" fillId="0" borderId="37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38" xfId="0" applyBorder="1"/>
    <xf numFmtId="0" fontId="3" fillId="0" borderId="0" xfId="0" applyFont="1" applyBorder="1" applyAlignment="1"/>
    <xf numFmtId="0" fontId="3" fillId="0" borderId="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5"/>
  <sheetViews>
    <sheetView zoomScaleNormal="100" workbookViewId="0">
      <selection activeCell="I1" sqref="I1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9.44140625" customWidth="1"/>
    <col min="5" max="5" width="9.5546875" style="9" customWidth="1"/>
    <col min="6" max="6" width="8.33203125" style="9" bestFit="1" customWidth="1"/>
    <col min="7" max="7" width="8.33203125" customWidth="1"/>
    <col min="8" max="8" width="7.88671875" bestFit="1" customWidth="1"/>
    <col min="9" max="9" width="10.77734375" customWidth="1"/>
    <col min="10" max="10" width="9.33203125" bestFit="1" customWidth="1"/>
  </cols>
  <sheetData>
    <row r="1" spans="1:12" ht="28.95" customHeight="1" x14ac:dyDescent="0.3">
      <c r="A1" t="s">
        <v>0</v>
      </c>
      <c r="B1" s="103" t="s">
        <v>64</v>
      </c>
      <c r="C1" s="104"/>
      <c r="D1" s="105"/>
      <c r="E1" s="9" t="s">
        <v>24</v>
      </c>
      <c r="F1" s="8"/>
      <c r="H1" s="87" t="s">
        <v>47</v>
      </c>
      <c r="I1" s="7">
        <v>45771</v>
      </c>
    </row>
    <row r="2" spans="1:12" ht="15" thickBot="1" x14ac:dyDescent="0.35">
      <c r="B2" s="1" t="s">
        <v>45</v>
      </c>
    </row>
    <row r="3" spans="1:12" s="14" customFormat="1" ht="29.4" thickBot="1" x14ac:dyDescent="0.35">
      <c r="A3" s="10" t="s">
        <v>1</v>
      </c>
      <c r="B3" s="11" t="s">
        <v>2</v>
      </c>
      <c r="C3" s="11" t="s">
        <v>17</v>
      </c>
      <c r="D3" s="11" t="s">
        <v>3</v>
      </c>
      <c r="E3" s="24" t="s">
        <v>18</v>
      </c>
      <c r="F3" s="24" t="s">
        <v>4</v>
      </c>
      <c r="G3" s="12" t="s">
        <v>5</v>
      </c>
      <c r="H3" s="11" t="s">
        <v>6</v>
      </c>
      <c r="I3" s="11" t="s">
        <v>7</v>
      </c>
      <c r="J3" s="13" t="s">
        <v>8</v>
      </c>
    </row>
    <row r="4" spans="1:12" ht="15.6" x14ac:dyDescent="0.3">
      <c r="A4" s="75" t="s">
        <v>9</v>
      </c>
      <c r="B4" s="72" t="s">
        <v>10</v>
      </c>
      <c r="C4" s="92">
        <v>32</v>
      </c>
      <c r="D4" s="93" t="s">
        <v>31</v>
      </c>
      <c r="E4" s="25" t="s">
        <v>27</v>
      </c>
      <c r="F4" s="43">
        <f>34.96*42/43+9.55*158/157</f>
        <v>43.757804769663757</v>
      </c>
      <c r="G4" s="2">
        <v>313.33</v>
      </c>
      <c r="H4" s="2">
        <v>7.99</v>
      </c>
      <c r="I4" s="2">
        <v>10.49</v>
      </c>
      <c r="J4" s="3">
        <v>46.69</v>
      </c>
    </row>
    <row r="5" spans="1:12" ht="15.6" x14ac:dyDescent="0.3">
      <c r="A5" s="70"/>
      <c r="B5" s="88" t="s">
        <v>11</v>
      </c>
      <c r="C5" s="51">
        <v>57</v>
      </c>
      <c r="D5" s="52" t="s">
        <v>32</v>
      </c>
      <c r="E5" s="53" t="s">
        <v>27</v>
      </c>
      <c r="F5" s="54">
        <v>1.0900000000000001</v>
      </c>
      <c r="G5" s="6">
        <v>41</v>
      </c>
      <c r="H5" s="6">
        <v>0</v>
      </c>
      <c r="I5" s="6">
        <v>0</v>
      </c>
      <c r="J5" s="20">
        <v>10.01</v>
      </c>
    </row>
    <row r="6" spans="1:12" ht="15.6" x14ac:dyDescent="0.3">
      <c r="A6" s="70"/>
      <c r="B6" s="79" t="s">
        <v>34</v>
      </c>
      <c r="C6" s="51" t="s">
        <v>19</v>
      </c>
      <c r="D6" s="52" t="s">
        <v>42</v>
      </c>
      <c r="E6" s="53" t="s">
        <v>35</v>
      </c>
      <c r="F6" s="54">
        <f>275.55*0.06</f>
        <v>16.533000000000001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2" ht="15.6" x14ac:dyDescent="0.3">
      <c r="A7" s="70"/>
      <c r="B7" s="67" t="s">
        <v>15</v>
      </c>
      <c r="C7" s="31" t="s">
        <v>19</v>
      </c>
      <c r="D7" s="32" t="s">
        <v>20</v>
      </c>
      <c r="E7" s="26">
        <v>23</v>
      </c>
      <c r="F7" s="40">
        <f>57.54*0.023</f>
        <v>1.32342</v>
      </c>
      <c r="G7" s="4">
        <f>42*23/20</f>
        <v>48.3</v>
      </c>
      <c r="H7" s="4">
        <f>0.98*23/20</f>
        <v>1.127</v>
      </c>
      <c r="I7" s="4">
        <f>0.2*23/20</f>
        <v>0.23000000000000004</v>
      </c>
      <c r="J7" s="5">
        <f>8.96*23/20</f>
        <v>10.304</v>
      </c>
    </row>
    <row r="8" spans="1:12" ht="15.6" x14ac:dyDescent="0.3">
      <c r="A8" s="70"/>
      <c r="B8" s="68" t="s">
        <v>16</v>
      </c>
      <c r="C8" s="31" t="s">
        <v>19</v>
      </c>
      <c r="D8" s="32" t="s">
        <v>30</v>
      </c>
      <c r="E8" s="26">
        <v>24</v>
      </c>
      <c r="F8" s="40">
        <v>1.82</v>
      </c>
      <c r="G8" s="4">
        <f>47*24/20</f>
        <v>56.4</v>
      </c>
      <c r="H8" s="4">
        <f>1.52*24/20</f>
        <v>1.8240000000000003</v>
      </c>
      <c r="I8" s="4">
        <f>0.16*24/20</f>
        <v>0.192</v>
      </c>
      <c r="J8" s="5">
        <f>9.84*24/20</f>
        <v>11.808</v>
      </c>
    </row>
    <row r="9" spans="1:12" ht="16.2" thickBot="1" x14ac:dyDescent="0.35">
      <c r="A9" s="71"/>
      <c r="B9" s="69"/>
      <c r="C9" s="55"/>
      <c r="D9" s="56"/>
      <c r="E9" s="57"/>
      <c r="F9" s="58">
        <f>SUM(F4:F8)</f>
        <v>64.524224769663761</v>
      </c>
      <c r="G9" s="39">
        <f>SUM(G4:G8)</f>
        <v>603.03</v>
      </c>
      <c r="H9" s="39">
        <f>SUM(H4:H8)</f>
        <v>15.501000000000001</v>
      </c>
      <c r="I9" s="39">
        <f>SUM(I4:I8)</f>
        <v>11.392000000000001</v>
      </c>
      <c r="J9" s="46">
        <f>SUM(J4:J8)</f>
        <v>107.97200000000001</v>
      </c>
    </row>
    <row r="10" spans="1:12" ht="15.6" x14ac:dyDescent="0.3">
      <c r="A10" s="75" t="s">
        <v>21</v>
      </c>
      <c r="B10" s="72" t="s">
        <v>22</v>
      </c>
      <c r="C10" s="33">
        <v>54</v>
      </c>
      <c r="D10" s="34" t="s">
        <v>49</v>
      </c>
      <c r="E10" s="59">
        <v>200</v>
      </c>
      <c r="F10" s="43">
        <v>11.77</v>
      </c>
      <c r="G10" s="2">
        <v>138</v>
      </c>
      <c r="H10" s="2">
        <v>2.74</v>
      </c>
      <c r="I10" s="2">
        <v>3.23</v>
      </c>
      <c r="J10" s="3">
        <v>24.11</v>
      </c>
    </row>
    <row r="11" spans="1:12" ht="15.6" x14ac:dyDescent="0.3">
      <c r="A11" s="70"/>
      <c r="B11" s="68" t="s">
        <v>16</v>
      </c>
      <c r="C11" s="60" t="s">
        <v>19</v>
      </c>
      <c r="D11" s="61" t="s">
        <v>36</v>
      </c>
      <c r="E11" s="62">
        <v>30</v>
      </c>
      <c r="F11" s="54">
        <v>2.96</v>
      </c>
      <c r="G11" s="6">
        <f>70.5/30*30</f>
        <v>70.5</v>
      </c>
      <c r="H11" s="6">
        <f>2.28/30*30</f>
        <v>2.2799999999999998</v>
      </c>
      <c r="I11" s="6">
        <f>0.24/30*30</f>
        <v>0.24</v>
      </c>
      <c r="J11" s="20">
        <f>14.76/30*30</f>
        <v>14.76</v>
      </c>
    </row>
    <row r="12" spans="1:12" ht="15.6" x14ac:dyDescent="0.3">
      <c r="A12" s="70"/>
      <c r="B12" s="73" t="s">
        <v>34</v>
      </c>
      <c r="C12" s="60">
        <v>3</v>
      </c>
      <c r="D12" s="61" t="s">
        <v>50</v>
      </c>
      <c r="E12" s="62">
        <v>10</v>
      </c>
      <c r="F12" s="54">
        <v>12.59</v>
      </c>
      <c r="G12" s="6">
        <f>65/10*10</f>
        <v>65</v>
      </c>
      <c r="H12" s="6">
        <f>0.08/10*10</f>
        <v>0.08</v>
      </c>
      <c r="I12" s="6">
        <f>7.15/10*10</f>
        <v>7.15</v>
      </c>
      <c r="J12" s="20">
        <f>0.13/10*10</f>
        <v>0.13</v>
      </c>
    </row>
    <row r="13" spans="1:12" ht="15.6" x14ac:dyDescent="0.3">
      <c r="A13" s="70"/>
      <c r="B13" s="73" t="s">
        <v>34</v>
      </c>
      <c r="C13" s="60">
        <v>6</v>
      </c>
      <c r="D13" s="61" t="s">
        <v>51</v>
      </c>
      <c r="E13" s="62">
        <v>23</v>
      </c>
      <c r="F13" s="54">
        <f>9.16/10*23</f>
        <v>21.068000000000001</v>
      </c>
      <c r="G13" s="6">
        <f>35/10*23</f>
        <v>80.5</v>
      </c>
      <c r="H13" s="6">
        <f>2.63/10*23</f>
        <v>6.0490000000000004</v>
      </c>
      <c r="I13" s="6">
        <f>2.66/10*23</f>
        <v>6.1180000000000003</v>
      </c>
      <c r="J13" s="20">
        <v>0</v>
      </c>
    </row>
    <row r="14" spans="1:12" ht="16.2" thickBot="1" x14ac:dyDescent="0.35">
      <c r="A14" s="71"/>
      <c r="B14" s="74"/>
      <c r="C14" s="63"/>
      <c r="D14" s="64"/>
      <c r="E14" s="65"/>
      <c r="F14" s="66">
        <f>SUM(F10:F13)</f>
        <v>48.388000000000005</v>
      </c>
      <c r="G14" s="41">
        <f>SUM(G10:G13)</f>
        <v>354</v>
      </c>
      <c r="H14" s="41">
        <f>SUM(H10:H13)</f>
        <v>11.149000000000001</v>
      </c>
      <c r="I14" s="41">
        <f>SUM(I10:I13)</f>
        <v>16.738</v>
      </c>
      <c r="J14" s="42">
        <f>SUM(J10:J13)</f>
        <v>39</v>
      </c>
    </row>
    <row r="15" spans="1:12" ht="28.8" x14ac:dyDescent="0.3">
      <c r="A15" s="101" t="s">
        <v>12</v>
      </c>
      <c r="B15" s="91" t="s">
        <v>33</v>
      </c>
      <c r="C15" s="33">
        <v>1</v>
      </c>
      <c r="D15" s="34" t="s">
        <v>63</v>
      </c>
      <c r="E15" s="25" t="s">
        <v>35</v>
      </c>
      <c r="F15" s="43">
        <v>16.73</v>
      </c>
      <c r="G15" s="2">
        <v>24</v>
      </c>
      <c r="H15" s="2">
        <v>1.86</v>
      </c>
      <c r="I15" s="2">
        <v>0.12</v>
      </c>
      <c r="J15" s="3">
        <v>3.9</v>
      </c>
    </row>
    <row r="16" spans="1:12" ht="28.8" x14ac:dyDescent="0.3">
      <c r="A16" s="90"/>
      <c r="B16" s="98" t="s">
        <v>13</v>
      </c>
      <c r="C16" s="35">
        <v>49</v>
      </c>
      <c r="D16" s="36" t="s">
        <v>38</v>
      </c>
      <c r="E16" s="27" t="s">
        <v>57</v>
      </c>
      <c r="F16" s="40">
        <f>12.75*240/220+17.81*10/30</f>
        <v>19.845757575757574</v>
      </c>
      <c r="G16" s="4">
        <v>170</v>
      </c>
      <c r="H16" s="4">
        <v>8.15</v>
      </c>
      <c r="I16" s="4">
        <v>7.7</v>
      </c>
      <c r="J16" s="5">
        <v>13.12</v>
      </c>
      <c r="L16" s="80"/>
    </row>
    <row r="17" spans="1:10" ht="15.6" x14ac:dyDescent="0.3">
      <c r="A17" s="90"/>
      <c r="B17" s="98" t="s">
        <v>14</v>
      </c>
      <c r="C17" s="35">
        <v>12</v>
      </c>
      <c r="D17" s="36" t="s">
        <v>39</v>
      </c>
      <c r="E17" s="27" t="s">
        <v>40</v>
      </c>
      <c r="F17" s="40">
        <v>33.81</v>
      </c>
      <c r="G17" s="4">
        <v>210.47</v>
      </c>
      <c r="H17" s="4">
        <v>11.45</v>
      </c>
      <c r="I17" s="4">
        <v>13.49</v>
      </c>
      <c r="J17" s="5">
        <v>10.79</v>
      </c>
    </row>
    <row r="18" spans="1:10" ht="28.8" x14ac:dyDescent="0.3">
      <c r="A18" s="90"/>
      <c r="B18" s="98" t="s">
        <v>37</v>
      </c>
      <c r="C18" s="35">
        <v>70.69</v>
      </c>
      <c r="D18" s="36" t="s">
        <v>48</v>
      </c>
      <c r="E18" s="27" t="s">
        <v>44</v>
      </c>
      <c r="F18" s="40">
        <f>14.23*75/90+14.62*75/90</f>
        <v>24.041666666666664</v>
      </c>
      <c r="G18" s="4">
        <f>151.5/180*150</f>
        <v>126.25</v>
      </c>
      <c r="H18" s="4">
        <f>3.71/180*150</f>
        <v>3.0916666666666668</v>
      </c>
      <c r="I18" s="4">
        <f>6.05/180*150</f>
        <v>5.041666666666667</v>
      </c>
      <c r="J18" s="5">
        <f>18.01/180*150</f>
        <v>15.008333333333335</v>
      </c>
    </row>
    <row r="19" spans="1:10" ht="15.6" x14ac:dyDescent="0.3">
      <c r="A19" s="90"/>
      <c r="B19" s="98" t="s">
        <v>22</v>
      </c>
      <c r="C19" s="35">
        <v>17</v>
      </c>
      <c r="D19" s="36" t="s">
        <v>41</v>
      </c>
      <c r="E19" s="27" t="s">
        <v>27</v>
      </c>
      <c r="F19" s="40">
        <v>3.19</v>
      </c>
      <c r="G19" s="4">
        <v>80</v>
      </c>
      <c r="H19" s="4">
        <v>0.44</v>
      </c>
      <c r="I19" s="4">
        <v>0</v>
      </c>
      <c r="J19" s="5">
        <v>18.899999999999999</v>
      </c>
    </row>
    <row r="20" spans="1:10" ht="15.6" x14ac:dyDescent="0.3">
      <c r="A20" s="90"/>
      <c r="B20" s="98" t="s">
        <v>15</v>
      </c>
      <c r="C20" s="35" t="s">
        <v>19</v>
      </c>
      <c r="D20" s="36" t="s">
        <v>20</v>
      </c>
      <c r="E20" s="27" t="s">
        <v>58</v>
      </c>
      <c r="F20" s="40">
        <f>57.54*0.02</f>
        <v>1.1508</v>
      </c>
      <c r="G20" s="4">
        <f>63/30*20</f>
        <v>42</v>
      </c>
      <c r="H20" s="4">
        <f>1.47/30*20</f>
        <v>0.98</v>
      </c>
      <c r="I20" s="4">
        <f>0.3/30*20</f>
        <v>0.2</v>
      </c>
      <c r="J20" s="5">
        <f>13.44/30*20</f>
        <v>8.9600000000000009</v>
      </c>
    </row>
    <row r="21" spans="1:10" ht="15.6" x14ac:dyDescent="0.3">
      <c r="A21" s="90"/>
      <c r="B21" s="99" t="s">
        <v>16</v>
      </c>
      <c r="C21" s="37" t="s">
        <v>19</v>
      </c>
      <c r="D21" s="38" t="s">
        <v>23</v>
      </c>
      <c r="E21" s="28" t="s">
        <v>58</v>
      </c>
      <c r="F21" s="44">
        <f>78.6*0.02</f>
        <v>1.5719999999999998</v>
      </c>
      <c r="G21" s="4">
        <f>70.5/30*20</f>
        <v>47</v>
      </c>
      <c r="H21" s="4">
        <f>2.28/30*20</f>
        <v>1.52</v>
      </c>
      <c r="I21" s="4">
        <f>0.24/30*20</f>
        <v>0.16</v>
      </c>
      <c r="J21" s="5">
        <f>14.76/30*20</f>
        <v>9.84</v>
      </c>
    </row>
    <row r="22" spans="1:10" ht="16.2" thickBot="1" x14ac:dyDescent="0.35">
      <c r="A22" s="77"/>
      <c r="B22" s="76"/>
      <c r="C22" s="21"/>
      <c r="D22" s="21"/>
      <c r="E22" s="30"/>
      <c r="F22" s="45">
        <v>96.79</v>
      </c>
      <c r="G22" s="22">
        <f>SUM(G15:G21)</f>
        <v>699.72</v>
      </c>
      <c r="H22" s="22">
        <f>SUM(H15:H21)</f>
        <v>27.491666666666671</v>
      </c>
      <c r="I22" s="22">
        <f>SUM(I15:I21)</f>
        <v>26.71166666666667</v>
      </c>
      <c r="J22" s="23">
        <f>SUM(J15:J21)</f>
        <v>80.518333333333345</v>
      </c>
    </row>
    <row r="23" spans="1:10" ht="16.2" thickBot="1" x14ac:dyDescent="0.35">
      <c r="B23" s="1" t="s">
        <v>46</v>
      </c>
      <c r="E23" s="29"/>
      <c r="F23" s="29"/>
    </row>
    <row r="24" spans="1:10" ht="29.4" thickBot="1" x14ac:dyDescent="0.35">
      <c r="A24" s="81" t="s">
        <v>1</v>
      </c>
      <c r="B24" s="50" t="s">
        <v>2</v>
      </c>
      <c r="C24" s="50" t="s">
        <v>17</v>
      </c>
      <c r="D24" s="50"/>
      <c r="E24" s="82" t="s">
        <v>18</v>
      </c>
      <c r="F24" s="82" t="s">
        <v>4</v>
      </c>
      <c r="G24" s="83" t="s">
        <v>5</v>
      </c>
      <c r="H24" s="50" t="s">
        <v>6</v>
      </c>
      <c r="I24" s="50" t="s">
        <v>7</v>
      </c>
      <c r="J24" s="84" t="s">
        <v>8</v>
      </c>
    </row>
    <row r="25" spans="1:10" ht="15.6" x14ac:dyDescent="0.3">
      <c r="A25" s="89" t="s">
        <v>9</v>
      </c>
      <c r="B25" s="91" t="s">
        <v>10</v>
      </c>
      <c r="C25" s="92">
        <v>32</v>
      </c>
      <c r="D25" s="93" t="s">
        <v>31</v>
      </c>
      <c r="E25" s="85">
        <v>230</v>
      </c>
      <c r="F25" s="86">
        <f>39.91*52/49+11.73*178/201</f>
        <v>52.741230581784947</v>
      </c>
      <c r="G25" s="94">
        <v>360.3</v>
      </c>
      <c r="H25" s="95">
        <v>4.5599999999999996</v>
      </c>
      <c r="I25" s="95">
        <v>0.48</v>
      </c>
      <c r="J25" s="96">
        <v>29.16</v>
      </c>
    </row>
    <row r="26" spans="1:10" ht="15.6" x14ac:dyDescent="0.3">
      <c r="B26" s="78" t="s">
        <v>11</v>
      </c>
      <c r="C26" s="51">
        <v>57</v>
      </c>
      <c r="D26" s="52" t="s">
        <v>32</v>
      </c>
      <c r="E26" s="53" t="s">
        <v>27</v>
      </c>
      <c r="F26" s="54">
        <v>1.0900000000000001</v>
      </c>
      <c r="G26" s="4">
        <v>41</v>
      </c>
      <c r="H26" s="4">
        <v>0</v>
      </c>
      <c r="I26" s="4">
        <v>0</v>
      </c>
      <c r="J26" s="5">
        <v>10.01</v>
      </c>
    </row>
    <row r="27" spans="1:10" ht="15.6" x14ac:dyDescent="0.3">
      <c r="A27" s="90"/>
      <c r="B27" s="97" t="s">
        <v>34</v>
      </c>
      <c r="C27" s="51" t="s">
        <v>19</v>
      </c>
      <c r="D27" s="52" t="s">
        <v>42</v>
      </c>
      <c r="E27" s="53" t="s">
        <v>35</v>
      </c>
      <c r="F27" s="54">
        <f>275.55*0.06</f>
        <v>16.533000000000001</v>
      </c>
      <c r="G27" s="6">
        <v>144</v>
      </c>
      <c r="H27" s="6">
        <v>4.5599999999999996</v>
      </c>
      <c r="I27" s="6">
        <v>0.48</v>
      </c>
      <c r="J27" s="20">
        <v>29.16</v>
      </c>
    </row>
    <row r="28" spans="1:10" ht="15.6" x14ac:dyDescent="0.3">
      <c r="A28" s="90"/>
      <c r="B28" s="98" t="s">
        <v>15</v>
      </c>
      <c r="C28" s="31" t="s">
        <v>19</v>
      </c>
      <c r="D28" s="32" t="s">
        <v>20</v>
      </c>
      <c r="E28" s="53" t="s">
        <v>61</v>
      </c>
      <c r="F28" s="54">
        <f>57.54*0.034</f>
        <v>1.9563600000000001</v>
      </c>
      <c r="G28" s="4">
        <f>63*34/30</f>
        <v>71.400000000000006</v>
      </c>
      <c r="H28" s="4">
        <f>1.47*34/30</f>
        <v>1.6659999999999999</v>
      </c>
      <c r="I28" s="4">
        <f>0.3*34/30</f>
        <v>0.33999999999999997</v>
      </c>
      <c r="J28" s="5">
        <f>13.44*34/30</f>
        <v>15.231999999999999</v>
      </c>
    </row>
    <row r="29" spans="1:10" ht="15.6" x14ac:dyDescent="0.3">
      <c r="A29" s="90"/>
      <c r="B29" s="99" t="s">
        <v>16</v>
      </c>
      <c r="C29" s="31" t="s">
        <v>19</v>
      </c>
      <c r="D29" s="32" t="s">
        <v>30</v>
      </c>
      <c r="E29" s="27" t="s">
        <v>62</v>
      </c>
      <c r="F29" s="40">
        <v>2.7</v>
      </c>
      <c r="G29" s="4">
        <f>72.85*35/30</f>
        <v>84.99166666666666</v>
      </c>
      <c r="H29" s="4">
        <f>2.36*35/30</f>
        <v>2.753333333333333</v>
      </c>
      <c r="I29" s="4">
        <f>0.25*35/30</f>
        <v>0.29166666666666669</v>
      </c>
      <c r="J29" s="5">
        <f>15.25*35/30</f>
        <v>17.791666666666668</v>
      </c>
    </row>
    <row r="30" spans="1:10" ht="16.2" thickBot="1" x14ac:dyDescent="0.35">
      <c r="A30" s="77"/>
      <c r="B30" s="100"/>
      <c r="C30" s="55"/>
      <c r="D30" s="56"/>
      <c r="E30" s="57"/>
      <c r="F30" s="58">
        <f>SUM(F25:F29)</f>
        <v>75.020590581784958</v>
      </c>
      <c r="G30" s="39">
        <f>SUM(G25:G29)</f>
        <v>701.69166666666661</v>
      </c>
      <c r="H30" s="39">
        <f>SUM(H25:H29)</f>
        <v>13.539333333333332</v>
      </c>
      <c r="I30" s="39">
        <f>SUM(I25:I29)</f>
        <v>1.5916666666666666</v>
      </c>
      <c r="J30" s="46">
        <f>SUM(J25:J29)</f>
        <v>101.35366666666667</v>
      </c>
    </row>
    <row r="31" spans="1:10" ht="15.6" x14ac:dyDescent="0.3">
      <c r="A31" s="75" t="s">
        <v>21</v>
      </c>
      <c r="B31" s="72" t="s">
        <v>22</v>
      </c>
      <c r="C31" s="33">
        <v>63</v>
      </c>
      <c r="D31" s="34" t="s">
        <v>49</v>
      </c>
      <c r="E31" s="59">
        <v>200</v>
      </c>
      <c r="F31" s="43">
        <v>11.77</v>
      </c>
      <c r="G31" s="2">
        <v>138</v>
      </c>
      <c r="H31" s="2">
        <v>2.74</v>
      </c>
      <c r="I31" s="2">
        <v>3.23</v>
      </c>
      <c r="J31" s="3">
        <v>24.11</v>
      </c>
    </row>
    <row r="32" spans="1:10" ht="15.6" x14ac:dyDescent="0.3">
      <c r="A32" s="70"/>
      <c r="B32" s="68" t="s">
        <v>16</v>
      </c>
      <c r="C32" s="60" t="s">
        <v>19</v>
      </c>
      <c r="D32" s="61" t="s">
        <v>36</v>
      </c>
      <c r="E32" s="62">
        <v>35</v>
      </c>
      <c r="F32" s="54">
        <v>3.5</v>
      </c>
      <c r="G32" s="6">
        <f>70.5/30*35</f>
        <v>82.25</v>
      </c>
      <c r="H32" s="6">
        <f>2.28/30*35</f>
        <v>2.66</v>
      </c>
      <c r="I32" s="6">
        <f>0.24/30*35</f>
        <v>0.28000000000000003</v>
      </c>
      <c r="J32" s="20">
        <f>14.76/30*35</f>
        <v>17.22</v>
      </c>
    </row>
    <row r="33" spans="1:13" ht="15.6" x14ac:dyDescent="0.3">
      <c r="A33" s="70"/>
      <c r="B33" s="73" t="s">
        <v>34</v>
      </c>
      <c r="C33" s="60">
        <v>3</v>
      </c>
      <c r="D33" s="61" t="s">
        <v>50</v>
      </c>
      <c r="E33" s="62">
        <v>10</v>
      </c>
      <c r="F33" s="54">
        <v>12.59</v>
      </c>
      <c r="G33" s="6">
        <f>65/10*10</f>
        <v>65</v>
      </c>
      <c r="H33" s="6">
        <f>0.08/10*10</f>
        <v>0.08</v>
      </c>
      <c r="I33" s="6">
        <f>7.15/10*10</f>
        <v>7.15</v>
      </c>
      <c r="J33" s="20">
        <f>0.13/10*10</f>
        <v>0.13</v>
      </c>
    </row>
    <row r="34" spans="1:13" ht="15.6" x14ac:dyDescent="0.3">
      <c r="A34" s="70"/>
      <c r="B34" s="73" t="s">
        <v>34</v>
      </c>
      <c r="C34" s="60">
        <v>6</v>
      </c>
      <c r="D34" s="61" t="s">
        <v>51</v>
      </c>
      <c r="E34" s="62">
        <v>31</v>
      </c>
      <c r="F34" s="54">
        <f>9.16/10*31</f>
        <v>28.396000000000001</v>
      </c>
      <c r="G34" s="6">
        <f>35/10*31</f>
        <v>108.5</v>
      </c>
      <c r="H34" s="6">
        <f>2.63/10*31</f>
        <v>8.1530000000000005</v>
      </c>
      <c r="I34" s="6">
        <f>2.66/10*31</f>
        <v>8.2460000000000004</v>
      </c>
      <c r="J34" s="20">
        <v>0</v>
      </c>
    </row>
    <row r="35" spans="1:13" ht="16.2" thickBot="1" x14ac:dyDescent="0.35">
      <c r="A35" s="71"/>
      <c r="B35" s="74"/>
      <c r="C35" s="63"/>
      <c r="D35" s="64"/>
      <c r="E35" s="65"/>
      <c r="F35" s="66">
        <f>SUM(F31:F34)</f>
        <v>56.256</v>
      </c>
      <c r="G35" s="41">
        <f>SUM(G31:G34)</f>
        <v>393.75</v>
      </c>
      <c r="H35" s="41">
        <f>SUM(H31:H34)</f>
        <v>13.633000000000001</v>
      </c>
      <c r="I35" s="41">
        <f>SUM(I31:I34)</f>
        <v>18.905999999999999</v>
      </c>
      <c r="J35" s="42">
        <f>SUM(J31:J34)</f>
        <v>41.46</v>
      </c>
    </row>
    <row r="36" spans="1:13" ht="28.8" x14ac:dyDescent="0.3">
      <c r="A36" s="75" t="s">
        <v>12</v>
      </c>
      <c r="B36" s="72" t="s">
        <v>33</v>
      </c>
      <c r="C36" s="33">
        <v>1</v>
      </c>
      <c r="D36" s="34" t="s">
        <v>63</v>
      </c>
      <c r="E36" s="25" t="s">
        <v>43</v>
      </c>
      <c r="F36" s="43">
        <v>27.88</v>
      </c>
      <c r="G36" s="2">
        <f>40</f>
        <v>40</v>
      </c>
      <c r="H36" s="2">
        <f>3.1</f>
        <v>3.1</v>
      </c>
      <c r="I36" s="2">
        <f>0.2</f>
        <v>0.2</v>
      </c>
      <c r="J36" s="3">
        <f>6.5</f>
        <v>6.5</v>
      </c>
    </row>
    <row r="37" spans="1:13" ht="28.8" x14ac:dyDescent="0.3">
      <c r="A37" s="70"/>
      <c r="B37" s="67" t="s">
        <v>13</v>
      </c>
      <c r="C37" s="35">
        <v>49</v>
      </c>
      <c r="D37" s="36" t="s">
        <v>38</v>
      </c>
      <c r="E37" s="27" t="s">
        <v>57</v>
      </c>
      <c r="F37" s="40">
        <f>12.75*240/220+17.81*10/30</f>
        <v>19.845757575757574</v>
      </c>
      <c r="G37" s="4">
        <v>170</v>
      </c>
      <c r="H37" s="4">
        <v>8.15</v>
      </c>
      <c r="I37" s="4">
        <v>7.7</v>
      </c>
      <c r="J37" s="5">
        <v>13.12</v>
      </c>
    </row>
    <row r="38" spans="1:13" ht="15.6" x14ac:dyDescent="0.3">
      <c r="A38" s="70"/>
      <c r="B38" s="67" t="s">
        <v>14</v>
      </c>
      <c r="C38" s="35">
        <v>12</v>
      </c>
      <c r="D38" s="36" t="s">
        <v>39</v>
      </c>
      <c r="E38" s="27" t="s">
        <v>43</v>
      </c>
      <c r="F38" s="40">
        <v>37.21</v>
      </c>
      <c r="G38" s="4">
        <v>233.86</v>
      </c>
      <c r="H38" s="4">
        <v>12.72</v>
      </c>
      <c r="I38" s="4">
        <v>14.99</v>
      </c>
      <c r="J38" s="5">
        <v>11.99</v>
      </c>
      <c r="M38" t="s">
        <v>28</v>
      </c>
    </row>
    <row r="39" spans="1:13" ht="28.8" x14ac:dyDescent="0.3">
      <c r="A39" s="70"/>
      <c r="B39" s="67" t="s">
        <v>37</v>
      </c>
      <c r="C39" s="35">
        <v>70.69</v>
      </c>
      <c r="D39" s="36" t="s">
        <v>48</v>
      </c>
      <c r="E39" s="27" t="s">
        <v>52</v>
      </c>
      <c r="F39" s="40">
        <f>14.23*90/90+14.62*90/90</f>
        <v>28.85</v>
      </c>
      <c r="G39" s="4">
        <v>151.5</v>
      </c>
      <c r="H39" s="4">
        <v>3.71</v>
      </c>
      <c r="I39" s="4">
        <v>6.05</v>
      </c>
      <c r="J39" s="5">
        <v>18.010000000000002</v>
      </c>
    </row>
    <row r="40" spans="1:13" ht="15.6" x14ac:dyDescent="0.3">
      <c r="A40" s="70"/>
      <c r="B40" s="67" t="s">
        <v>22</v>
      </c>
      <c r="C40" s="35">
        <v>17</v>
      </c>
      <c r="D40" s="36" t="s">
        <v>41</v>
      </c>
      <c r="E40" s="27" t="s">
        <v>27</v>
      </c>
      <c r="F40" s="40">
        <v>3.19</v>
      </c>
      <c r="G40" s="4">
        <v>80</v>
      </c>
      <c r="H40" s="4">
        <v>0.44</v>
      </c>
      <c r="I40" s="4">
        <v>0</v>
      </c>
      <c r="J40" s="5">
        <v>18.899999999999999</v>
      </c>
    </row>
    <row r="41" spans="1:13" ht="15.6" x14ac:dyDescent="0.3">
      <c r="A41" s="70"/>
      <c r="B41" s="98" t="s">
        <v>15</v>
      </c>
      <c r="C41" s="35" t="s">
        <v>19</v>
      </c>
      <c r="D41" s="36" t="s">
        <v>20</v>
      </c>
      <c r="E41" s="27" t="s">
        <v>56</v>
      </c>
      <c r="F41" s="40">
        <f>57.54*0.03</f>
        <v>1.7262</v>
      </c>
      <c r="G41" s="4">
        <f>84*30/40</f>
        <v>63</v>
      </c>
      <c r="H41" s="4">
        <f>1.96*30/40</f>
        <v>1.47</v>
      </c>
      <c r="I41" s="4">
        <f>0.4*30/40</f>
        <v>0.3</v>
      </c>
      <c r="J41" s="5">
        <f>17.92*30/40</f>
        <v>13.440000000000001</v>
      </c>
    </row>
    <row r="42" spans="1:13" ht="15.6" x14ac:dyDescent="0.3">
      <c r="A42" s="70"/>
      <c r="B42" s="99" t="s">
        <v>16</v>
      </c>
      <c r="C42" s="37" t="s">
        <v>19</v>
      </c>
      <c r="D42" s="38" t="s">
        <v>23</v>
      </c>
      <c r="E42" s="27" t="s">
        <v>56</v>
      </c>
      <c r="F42" s="40">
        <f>78.6*0.03</f>
        <v>2.3579999999999997</v>
      </c>
      <c r="G42" s="4">
        <f>94*30/40</f>
        <v>70.5</v>
      </c>
      <c r="H42" s="4">
        <f>3.04*30/40</f>
        <v>2.2800000000000002</v>
      </c>
      <c r="I42" s="4">
        <f>0.32*30/40</f>
        <v>0.24</v>
      </c>
      <c r="J42" s="5">
        <f>19.68*30/40</f>
        <v>14.76</v>
      </c>
    </row>
    <row r="43" spans="1:13" ht="16.2" thickBot="1" x14ac:dyDescent="0.35">
      <c r="A43" s="71"/>
      <c r="B43" s="74"/>
      <c r="C43" s="21"/>
      <c r="D43" s="21"/>
      <c r="E43" s="30"/>
      <c r="F43" s="45">
        <v>112.52</v>
      </c>
      <c r="G43" s="22">
        <f>SUM(G36:G42)</f>
        <v>808.86</v>
      </c>
      <c r="H43" s="22">
        <f>SUM(H36:H42)</f>
        <v>31.87</v>
      </c>
      <c r="I43" s="22">
        <f>SUM(I36:I42)</f>
        <v>29.48</v>
      </c>
      <c r="J43" s="23">
        <f>SUM(J36:J42)</f>
        <v>96.720000000000013</v>
      </c>
    </row>
    <row r="44" spans="1:13" ht="21" customHeight="1" x14ac:dyDescent="0.3">
      <c r="A44" s="15" t="s">
        <v>25</v>
      </c>
    </row>
    <row r="45" spans="1:13" ht="21" customHeight="1" x14ac:dyDescent="0.3">
      <c r="A45" s="15" t="s">
        <v>29</v>
      </c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88" orientation="portrait" r:id="rId1"/>
  <ignoredErrors>
    <ignoredError sqref="F9:G9" unlockedFormula="1"/>
    <ignoredError sqref="E5: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tabSelected="1" zoomScaleNormal="100" workbookViewId="0">
      <selection activeCell="I1" sqref="I1"/>
    </sheetView>
  </sheetViews>
  <sheetFormatPr defaultColWidth="8.88671875" defaultRowHeight="14.4" x14ac:dyDescent="0.3"/>
  <cols>
    <col min="1" max="1" width="12.21875" style="16" customWidth="1"/>
    <col min="2" max="2" width="11.33203125" style="16" customWidth="1"/>
    <col min="3" max="3" width="7.109375" style="16" bestFit="1" customWidth="1"/>
    <col min="4" max="4" width="29.44140625" style="16" customWidth="1"/>
    <col min="5" max="5" width="10" style="17" customWidth="1"/>
    <col min="6" max="6" width="8.21875" style="17" bestFit="1" customWidth="1"/>
    <col min="7" max="7" width="8.33203125" style="16" customWidth="1"/>
    <col min="8" max="8" width="7.77734375" style="16" bestFit="1" customWidth="1"/>
    <col min="9" max="9" width="11.6640625" style="16" customWidth="1"/>
    <col min="10" max="10" width="9.33203125" style="16" bestFit="1" customWidth="1"/>
    <col min="11" max="16384" width="8.88671875" style="16"/>
  </cols>
  <sheetData>
    <row r="1" spans="1:10" ht="28.95" customHeight="1" x14ac:dyDescent="0.3">
      <c r="A1" s="16" t="s">
        <v>0</v>
      </c>
      <c r="B1" s="103" t="s">
        <v>64</v>
      </c>
      <c r="C1" s="104"/>
      <c r="D1" s="105"/>
      <c r="E1" s="17" t="s">
        <v>24</v>
      </c>
      <c r="F1" s="18"/>
      <c r="H1" s="102" t="s">
        <v>47</v>
      </c>
      <c r="I1" s="7">
        <v>45771</v>
      </c>
    </row>
    <row r="2" spans="1:10" ht="15" thickBot="1" x14ac:dyDescent="0.35">
      <c r="A2" s="47"/>
      <c r="B2" s="48" t="s">
        <v>26</v>
      </c>
      <c r="C2" s="47"/>
      <c r="D2" s="47"/>
      <c r="E2" s="49"/>
      <c r="F2" s="49"/>
      <c r="G2" s="47"/>
      <c r="H2" s="47"/>
      <c r="I2" s="47"/>
      <c r="J2" s="47"/>
    </row>
    <row r="3" spans="1:10" ht="29.4" thickBot="1" x14ac:dyDescent="0.35">
      <c r="A3" s="10" t="s">
        <v>1</v>
      </c>
      <c r="B3" s="11" t="s">
        <v>2</v>
      </c>
      <c r="C3" s="11" t="s">
        <v>17</v>
      </c>
      <c r="D3" s="11" t="s">
        <v>3</v>
      </c>
      <c r="E3" s="24" t="s">
        <v>18</v>
      </c>
      <c r="F3" s="24" t="s">
        <v>4</v>
      </c>
      <c r="G3" s="12" t="s">
        <v>5</v>
      </c>
      <c r="H3" s="11" t="s">
        <v>6</v>
      </c>
      <c r="I3" s="11" t="s">
        <v>7</v>
      </c>
      <c r="J3" s="13" t="s">
        <v>8</v>
      </c>
    </row>
    <row r="4" spans="1:10" s="19" customFormat="1" ht="15.6" x14ac:dyDescent="0.3">
      <c r="A4" s="75" t="s">
        <v>9</v>
      </c>
      <c r="B4" s="72" t="s">
        <v>10</v>
      </c>
      <c r="C4" s="92">
        <v>32</v>
      </c>
      <c r="D4" s="93" t="s">
        <v>31</v>
      </c>
      <c r="E4" s="25" t="s">
        <v>27</v>
      </c>
      <c r="F4" s="43">
        <f>46.5*42/43+12.69*158/157</f>
        <v>58.189432676640493</v>
      </c>
      <c r="G4" s="2">
        <v>313.33</v>
      </c>
      <c r="H4" s="2">
        <v>7.99</v>
      </c>
      <c r="I4" s="2">
        <v>10.49</v>
      </c>
      <c r="J4" s="3">
        <v>46.69</v>
      </c>
    </row>
    <row r="5" spans="1:10" s="19" customFormat="1" ht="15.6" x14ac:dyDescent="0.3">
      <c r="A5" s="70"/>
      <c r="B5" s="88" t="s">
        <v>11</v>
      </c>
      <c r="C5" s="51">
        <v>57</v>
      </c>
      <c r="D5" s="52" t="s">
        <v>32</v>
      </c>
      <c r="E5" s="53" t="s">
        <v>27</v>
      </c>
      <c r="F5" s="54">
        <v>1.45</v>
      </c>
      <c r="G5" s="6">
        <v>41</v>
      </c>
      <c r="H5" s="6">
        <v>0</v>
      </c>
      <c r="I5" s="6">
        <v>0</v>
      </c>
      <c r="J5" s="20">
        <v>10.01</v>
      </c>
    </row>
    <row r="6" spans="1:10" ht="16.2" customHeight="1" x14ac:dyDescent="0.3">
      <c r="A6" s="70"/>
      <c r="B6" s="79" t="s">
        <v>34</v>
      </c>
      <c r="C6" s="51" t="s">
        <v>19</v>
      </c>
      <c r="D6" s="52" t="s">
        <v>42</v>
      </c>
      <c r="E6" s="53" t="s">
        <v>35</v>
      </c>
      <c r="F6" s="54">
        <f>275.55*0.06*1.33</f>
        <v>21.988890000000001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0" ht="15.6" x14ac:dyDescent="0.3">
      <c r="A7" s="70"/>
      <c r="B7" s="67" t="s">
        <v>15</v>
      </c>
      <c r="C7" s="31" t="s">
        <v>19</v>
      </c>
      <c r="D7" s="32" t="s">
        <v>20</v>
      </c>
      <c r="E7" s="26">
        <v>27</v>
      </c>
      <c r="F7" s="40">
        <f>69.05*0.027</f>
        <v>1.86435</v>
      </c>
      <c r="G7" s="4">
        <f>42*27/20</f>
        <v>56.7</v>
      </c>
      <c r="H7" s="4">
        <f>0.98*27/20</f>
        <v>1.323</v>
      </c>
      <c r="I7" s="4">
        <f>0.2*27/20</f>
        <v>0.27</v>
      </c>
      <c r="J7" s="5">
        <f>8.96*27/20</f>
        <v>12.096</v>
      </c>
    </row>
    <row r="8" spans="1:10" ht="15.6" x14ac:dyDescent="0.3">
      <c r="A8" s="70"/>
      <c r="B8" s="68" t="s">
        <v>16</v>
      </c>
      <c r="C8" s="31" t="s">
        <v>19</v>
      </c>
      <c r="D8" s="32" t="s">
        <v>30</v>
      </c>
      <c r="E8" s="26">
        <v>27</v>
      </c>
      <c r="F8" s="40">
        <v>2.5099999999999998</v>
      </c>
      <c r="G8" s="4">
        <f>47*27/20</f>
        <v>63.45</v>
      </c>
      <c r="H8" s="4">
        <f>1.52*27/20</f>
        <v>2.052</v>
      </c>
      <c r="I8" s="4">
        <f>0.16*27/20</f>
        <v>0.21600000000000003</v>
      </c>
      <c r="J8" s="5">
        <f>9.84*27/20</f>
        <v>13.284000000000001</v>
      </c>
    </row>
    <row r="9" spans="1:10" ht="15.6" customHeight="1" thickBot="1" x14ac:dyDescent="0.35">
      <c r="A9" s="71"/>
      <c r="B9" s="69"/>
      <c r="C9" s="55"/>
      <c r="D9" s="56"/>
      <c r="E9" s="57"/>
      <c r="F9" s="58">
        <f>SUM(F4:F8)</f>
        <v>86.002672676640501</v>
      </c>
      <c r="G9" s="39">
        <f>SUM(G4:G8)</f>
        <v>618.48</v>
      </c>
      <c r="H9" s="39">
        <f>SUM(H4:H8)</f>
        <v>15.925000000000001</v>
      </c>
      <c r="I9" s="39">
        <f>SUM(I4:I8)</f>
        <v>11.456</v>
      </c>
      <c r="J9" s="46">
        <f>SUM(J4:J8)</f>
        <v>111.24000000000001</v>
      </c>
    </row>
    <row r="10" spans="1:10" ht="15.6" x14ac:dyDescent="0.3">
      <c r="A10" s="75"/>
      <c r="B10" s="98" t="s">
        <v>37</v>
      </c>
      <c r="C10" s="35">
        <v>70</v>
      </c>
      <c r="D10" s="36" t="s">
        <v>53</v>
      </c>
      <c r="E10" s="27" t="s">
        <v>55</v>
      </c>
      <c r="F10" s="40">
        <f>18.93/90*150</f>
        <v>31.549999999999997</v>
      </c>
      <c r="G10" s="4">
        <f>163*150/180</f>
        <v>135.83333333333334</v>
      </c>
      <c r="H10" s="4">
        <f>3.75*150/180</f>
        <v>3.125</v>
      </c>
      <c r="I10" s="4">
        <f>5.47*150/180</f>
        <v>4.5583333333333336</v>
      </c>
      <c r="J10" s="5">
        <f>21.98*150/180</f>
        <v>18.316666666666666</v>
      </c>
    </row>
    <row r="11" spans="1:10" ht="15.6" x14ac:dyDescent="0.3">
      <c r="A11" s="70"/>
      <c r="B11" s="98" t="s">
        <v>10</v>
      </c>
      <c r="C11" s="35">
        <v>12</v>
      </c>
      <c r="D11" s="36" t="s">
        <v>39</v>
      </c>
      <c r="E11" s="27" t="s">
        <v>43</v>
      </c>
      <c r="F11" s="40">
        <v>49.48</v>
      </c>
      <c r="G11" s="4">
        <v>233.86</v>
      </c>
      <c r="H11" s="4">
        <v>12.72</v>
      </c>
      <c r="I11" s="4">
        <v>14.99</v>
      </c>
      <c r="J11" s="5">
        <v>11.99</v>
      </c>
    </row>
    <row r="12" spans="1:10" ht="16.2" customHeight="1" x14ac:dyDescent="0.3">
      <c r="A12" s="70"/>
      <c r="B12" s="97" t="s">
        <v>34</v>
      </c>
      <c r="C12" s="51">
        <v>15</v>
      </c>
      <c r="D12" s="52" t="s">
        <v>59</v>
      </c>
      <c r="E12" s="53" t="s">
        <v>58</v>
      </c>
      <c r="F12" s="54">
        <f>3.57/25*20</f>
        <v>2.8559999999999999</v>
      </c>
      <c r="G12" s="4">
        <f>29/25*20</f>
        <v>23.2</v>
      </c>
      <c r="H12" s="4">
        <f>0.24/25*20</f>
        <v>0.19199999999999998</v>
      </c>
      <c r="I12" s="4">
        <f>2.78/25*20</f>
        <v>2.2239999999999998</v>
      </c>
      <c r="J12" s="5">
        <f>0.71/25*20</f>
        <v>0.56799999999999995</v>
      </c>
    </row>
    <row r="13" spans="1:10" ht="15.6" x14ac:dyDescent="0.3">
      <c r="A13" s="70"/>
      <c r="B13" s="98" t="s">
        <v>22</v>
      </c>
      <c r="C13" s="35">
        <v>17</v>
      </c>
      <c r="D13" s="36" t="s">
        <v>41</v>
      </c>
      <c r="E13" s="27" t="s">
        <v>27</v>
      </c>
      <c r="F13" s="40">
        <v>4.24</v>
      </c>
      <c r="G13" s="4">
        <v>80</v>
      </c>
      <c r="H13" s="4">
        <v>0.44</v>
      </c>
      <c r="I13" s="4">
        <v>0</v>
      </c>
      <c r="J13" s="5">
        <v>18.899999999999999</v>
      </c>
    </row>
    <row r="14" spans="1:10" ht="15.6" x14ac:dyDescent="0.3">
      <c r="A14" s="70"/>
      <c r="B14" s="99" t="s">
        <v>16</v>
      </c>
      <c r="C14" s="31" t="s">
        <v>19</v>
      </c>
      <c r="D14" s="32" t="s">
        <v>30</v>
      </c>
      <c r="E14" s="26">
        <v>20</v>
      </c>
      <c r="F14" s="40">
        <v>1.87</v>
      </c>
      <c r="G14" s="4">
        <f>47*20/20</f>
        <v>47</v>
      </c>
      <c r="H14" s="4">
        <f>1.52*20/20</f>
        <v>1.52</v>
      </c>
      <c r="I14" s="4">
        <f>0.16*20/20</f>
        <v>0.16</v>
      </c>
      <c r="J14" s="5">
        <f>9.84*20/20</f>
        <v>9.84</v>
      </c>
    </row>
    <row r="15" spans="1:10" ht="16.2" thickBot="1" x14ac:dyDescent="0.35">
      <c r="A15" s="71"/>
      <c r="B15" s="76"/>
      <c r="C15" s="21"/>
      <c r="D15" s="21"/>
      <c r="E15" s="30"/>
      <c r="F15" s="45">
        <f>SUM(F10:F14)</f>
        <v>89.995999999999995</v>
      </c>
      <c r="G15" s="22">
        <f>SUM(G10:G14)</f>
        <v>519.89333333333343</v>
      </c>
      <c r="H15" s="22">
        <f>SUM(H10:H14)</f>
        <v>17.997</v>
      </c>
      <c r="I15" s="22">
        <f>SUM(I10:I14)</f>
        <v>21.932333333333332</v>
      </c>
      <c r="J15" s="23">
        <f>SUM(J10:J14)</f>
        <v>59.614666666666665</v>
      </c>
    </row>
    <row r="16" spans="1:10" ht="15.6" x14ac:dyDescent="0.3">
      <c r="A16" s="75"/>
      <c r="B16" s="98" t="s">
        <v>37</v>
      </c>
      <c r="C16" s="35">
        <v>70</v>
      </c>
      <c r="D16" s="36" t="s">
        <v>53</v>
      </c>
      <c r="E16" s="27" t="s">
        <v>55</v>
      </c>
      <c r="F16" s="40">
        <f>18.93/90*150</f>
        <v>31.549999999999997</v>
      </c>
      <c r="G16" s="4">
        <f>163*150/180</f>
        <v>135.83333333333334</v>
      </c>
      <c r="H16" s="4">
        <f>3.75*150/180</f>
        <v>3.125</v>
      </c>
      <c r="I16" s="4">
        <f>5.47*150/180</f>
        <v>4.5583333333333336</v>
      </c>
      <c r="J16" s="5">
        <f>21.98*150/180</f>
        <v>18.316666666666666</v>
      </c>
    </row>
    <row r="17" spans="1:10" ht="15.6" x14ac:dyDescent="0.3">
      <c r="A17" s="70"/>
      <c r="B17" s="98" t="s">
        <v>10</v>
      </c>
      <c r="C17" s="35">
        <v>12</v>
      </c>
      <c r="D17" s="36" t="s">
        <v>39</v>
      </c>
      <c r="E17" s="27" t="s">
        <v>43</v>
      </c>
      <c r="F17" s="40">
        <v>49.48</v>
      </c>
      <c r="G17" s="4">
        <v>233.86</v>
      </c>
      <c r="H17" s="4">
        <v>12.72</v>
      </c>
      <c r="I17" s="4">
        <v>14.99</v>
      </c>
      <c r="J17" s="5">
        <v>11.99</v>
      </c>
    </row>
    <row r="18" spans="1:10" ht="16.2" customHeight="1" x14ac:dyDescent="0.3">
      <c r="A18" s="70"/>
      <c r="B18" s="97" t="s">
        <v>34</v>
      </c>
      <c r="C18" s="51">
        <v>15</v>
      </c>
      <c r="D18" s="52" t="s">
        <v>59</v>
      </c>
      <c r="E18" s="53" t="s">
        <v>58</v>
      </c>
      <c r="F18" s="54">
        <f>3.57/25*20</f>
        <v>2.8559999999999999</v>
      </c>
      <c r="G18" s="4">
        <f>29/25*20</f>
        <v>23.2</v>
      </c>
      <c r="H18" s="4">
        <f>0.24/25*20</f>
        <v>0.19199999999999998</v>
      </c>
      <c r="I18" s="4">
        <f>2.78/25*20</f>
        <v>2.2239999999999998</v>
      </c>
      <c r="J18" s="5">
        <f>0.71/25*20</f>
        <v>0.56799999999999995</v>
      </c>
    </row>
    <row r="19" spans="1:10" ht="15.6" x14ac:dyDescent="0.3">
      <c r="A19" s="70"/>
      <c r="B19" s="98" t="s">
        <v>22</v>
      </c>
      <c r="C19" s="35">
        <v>25</v>
      </c>
      <c r="D19" s="36" t="s">
        <v>54</v>
      </c>
      <c r="E19" s="27" t="s">
        <v>27</v>
      </c>
      <c r="F19" s="40">
        <v>21.95</v>
      </c>
      <c r="G19" s="4">
        <v>136</v>
      </c>
      <c r="H19" s="4">
        <v>0.6</v>
      </c>
      <c r="I19" s="4">
        <v>0</v>
      </c>
      <c r="J19" s="5">
        <v>33</v>
      </c>
    </row>
    <row r="20" spans="1:10" ht="15.6" x14ac:dyDescent="0.3">
      <c r="A20" s="70"/>
      <c r="B20" s="98" t="s">
        <v>15</v>
      </c>
      <c r="C20" s="31" t="s">
        <v>19</v>
      </c>
      <c r="D20" s="32" t="s">
        <v>20</v>
      </c>
      <c r="E20" s="26">
        <v>25</v>
      </c>
      <c r="F20" s="40">
        <v>1.71</v>
      </c>
      <c r="G20" s="4">
        <f>42*25/20</f>
        <v>52.5</v>
      </c>
      <c r="H20" s="4">
        <f>0.98*25/20</f>
        <v>1.2250000000000001</v>
      </c>
      <c r="I20" s="4">
        <f>0.2*25/20</f>
        <v>0.25</v>
      </c>
      <c r="J20" s="5">
        <f>8.96*25/20</f>
        <v>11.200000000000001</v>
      </c>
    </row>
    <row r="21" spans="1:10" ht="15.6" x14ac:dyDescent="0.3">
      <c r="A21" s="70"/>
      <c r="B21" s="99" t="s">
        <v>16</v>
      </c>
      <c r="C21" s="31" t="s">
        <v>19</v>
      </c>
      <c r="D21" s="32" t="s">
        <v>30</v>
      </c>
      <c r="E21" s="26">
        <v>26</v>
      </c>
      <c r="F21" s="40">
        <f>94.32*0.026</f>
        <v>2.4523199999999998</v>
      </c>
      <c r="G21" s="4">
        <f>47*26/20</f>
        <v>61.1</v>
      </c>
      <c r="H21" s="4">
        <f>1.52*26/20</f>
        <v>1.9760000000000002</v>
      </c>
      <c r="I21" s="4">
        <f>0.16*26/20</f>
        <v>0.20800000000000002</v>
      </c>
      <c r="J21" s="5">
        <f>9.84*26/20</f>
        <v>12.792</v>
      </c>
    </row>
    <row r="22" spans="1:10" ht="16.2" thickBot="1" x14ac:dyDescent="0.35">
      <c r="A22" s="71"/>
      <c r="B22" s="76"/>
      <c r="C22" s="21"/>
      <c r="D22" s="21"/>
      <c r="E22" s="30"/>
      <c r="F22" s="45">
        <f>SUM(F16:F21)</f>
        <v>109.99831999999999</v>
      </c>
      <c r="G22" s="22">
        <f>SUM(G16:G21)</f>
        <v>642.49333333333345</v>
      </c>
      <c r="H22" s="22">
        <f>SUM(H16:H21)</f>
        <v>19.838000000000001</v>
      </c>
      <c r="I22" s="22">
        <f>SUM(I16:I21)</f>
        <v>22.230333333333331</v>
      </c>
      <c r="J22" s="23">
        <f>SUM(J16:J21)</f>
        <v>87.866666666666674</v>
      </c>
    </row>
    <row r="23" spans="1:10" ht="28.8" x14ac:dyDescent="0.3">
      <c r="A23" s="70"/>
      <c r="B23" s="67" t="s">
        <v>13</v>
      </c>
      <c r="C23" s="35">
        <v>49</v>
      </c>
      <c r="D23" s="36" t="s">
        <v>38</v>
      </c>
      <c r="E23" s="27" t="s">
        <v>60</v>
      </c>
      <c r="F23" s="40">
        <f>16.95*235/220+23.68*15/30</f>
        <v>29.945681818181818</v>
      </c>
      <c r="G23" s="4">
        <v>170</v>
      </c>
      <c r="H23" s="4">
        <v>8.15</v>
      </c>
      <c r="I23" s="4">
        <v>7.7</v>
      </c>
      <c r="J23" s="5">
        <v>13.12</v>
      </c>
    </row>
    <row r="24" spans="1:10" customFormat="1" ht="15.6" customHeight="1" x14ac:dyDescent="0.3">
      <c r="A24" s="70"/>
      <c r="B24" s="98" t="s">
        <v>37</v>
      </c>
      <c r="C24" s="35">
        <v>70</v>
      </c>
      <c r="D24" s="36" t="s">
        <v>53</v>
      </c>
      <c r="E24" s="27" t="s">
        <v>55</v>
      </c>
      <c r="F24" s="40">
        <f>18.93/90*150</f>
        <v>31.549999999999997</v>
      </c>
      <c r="G24" s="4">
        <f>163*150/180</f>
        <v>135.83333333333334</v>
      </c>
      <c r="H24" s="4">
        <f>3.75*150/180</f>
        <v>3.125</v>
      </c>
      <c r="I24" s="4">
        <f>5.47*150/180</f>
        <v>4.5583333333333336</v>
      </c>
      <c r="J24" s="5">
        <f>21.98*150/180</f>
        <v>18.316666666666666</v>
      </c>
    </row>
    <row r="25" spans="1:10" customFormat="1" ht="15.6" customHeight="1" x14ac:dyDescent="0.3">
      <c r="A25" s="70"/>
      <c r="B25" s="98" t="s">
        <v>10</v>
      </c>
      <c r="C25" s="35">
        <v>12</v>
      </c>
      <c r="D25" s="36" t="s">
        <v>39</v>
      </c>
      <c r="E25" s="27" t="s">
        <v>40</v>
      </c>
      <c r="F25" s="40">
        <v>44.96</v>
      </c>
      <c r="G25" s="4">
        <f>233.86/100*90</f>
        <v>210.47399999999999</v>
      </c>
      <c r="H25" s="4">
        <f>12.72/100*90</f>
        <v>11.448</v>
      </c>
      <c r="I25" s="4">
        <f>14.99/100*90</f>
        <v>13.491</v>
      </c>
      <c r="J25" s="5">
        <f>11.99/100*90</f>
        <v>10.791</v>
      </c>
    </row>
    <row r="26" spans="1:10" customFormat="1" ht="15.6" customHeight="1" x14ac:dyDescent="0.3">
      <c r="A26" s="70"/>
      <c r="B26" s="97" t="s">
        <v>34</v>
      </c>
      <c r="C26" s="51">
        <v>15</v>
      </c>
      <c r="D26" s="52" t="s">
        <v>59</v>
      </c>
      <c r="E26" s="53" t="s">
        <v>58</v>
      </c>
      <c r="F26" s="54">
        <f>3.57/25*20</f>
        <v>2.8559999999999999</v>
      </c>
      <c r="G26" s="4">
        <f>29/25*20</f>
        <v>23.2</v>
      </c>
      <c r="H26" s="4">
        <f>0.24/25*20</f>
        <v>0.19199999999999998</v>
      </c>
      <c r="I26" s="4">
        <f>2.78/25*20</f>
        <v>2.2239999999999998</v>
      </c>
      <c r="J26" s="5">
        <f>0.71/25*20</f>
        <v>0.56799999999999995</v>
      </c>
    </row>
    <row r="27" spans="1:10" customFormat="1" ht="15.6" x14ac:dyDescent="0.3">
      <c r="A27" s="70"/>
      <c r="B27" s="98" t="s">
        <v>22</v>
      </c>
      <c r="C27" s="35">
        <v>25</v>
      </c>
      <c r="D27" s="36" t="s">
        <v>54</v>
      </c>
      <c r="E27" s="27" t="s">
        <v>27</v>
      </c>
      <c r="F27" s="40">
        <v>21.95</v>
      </c>
      <c r="G27" s="4">
        <v>136</v>
      </c>
      <c r="H27" s="4">
        <v>0.6</v>
      </c>
      <c r="I27" s="4">
        <v>0</v>
      </c>
      <c r="J27" s="5">
        <v>33</v>
      </c>
    </row>
    <row r="28" spans="1:10" customFormat="1" ht="15.6" x14ac:dyDescent="0.3">
      <c r="A28" s="70"/>
      <c r="B28" s="98" t="s">
        <v>15</v>
      </c>
      <c r="C28" s="31" t="s">
        <v>19</v>
      </c>
      <c r="D28" s="32" t="s">
        <v>20</v>
      </c>
      <c r="E28" s="26">
        <v>23</v>
      </c>
      <c r="F28" s="40">
        <v>1.57</v>
      </c>
      <c r="G28" s="4">
        <f>42*23/20</f>
        <v>48.3</v>
      </c>
      <c r="H28" s="4">
        <f>0.98*23/20</f>
        <v>1.127</v>
      </c>
      <c r="I28" s="4">
        <f>0.2*23/20</f>
        <v>0.23000000000000004</v>
      </c>
      <c r="J28" s="5">
        <f>8.96*23/20</f>
        <v>10.304</v>
      </c>
    </row>
    <row r="29" spans="1:10" customFormat="1" ht="15.6" x14ac:dyDescent="0.3">
      <c r="A29" s="70"/>
      <c r="B29" s="99" t="s">
        <v>16</v>
      </c>
      <c r="C29" s="31" t="s">
        <v>19</v>
      </c>
      <c r="D29" s="32" t="s">
        <v>30</v>
      </c>
      <c r="E29" s="26">
        <v>23</v>
      </c>
      <c r="F29" s="40">
        <f>94.3*0.023</f>
        <v>2.1688999999999998</v>
      </c>
      <c r="G29" s="4">
        <f>47*23/20</f>
        <v>54.05</v>
      </c>
      <c r="H29" s="4">
        <f>1.52*23/20</f>
        <v>1.748</v>
      </c>
      <c r="I29" s="4">
        <f>0.16*23/20</f>
        <v>0.184</v>
      </c>
      <c r="J29" s="5">
        <f>9.84*23/20</f>
        <v>11.315999999999999</v>
      </c>
    </row>
    <row r="30" spans="1:10" ht="16.2" thickBot="1" x14ac:dyDescent="0.35">
      <c r="A30" s="77"/>
      <c r="B30" s="76"/>
      <c r="C30" s="21"/>
      <c r="D30" s="21"/>
      <c r="E30" s="30"/>
      <c r="F30" s="45">
        <f>SUM(F23:F29)</f>
        <v>135.00058181818181</v>
      </c>
      <c r="G30" s="22">
        <f>SUM(G23:G29)</f>
        <v>777.85733333333337</v>
      </c>
      <c r="H30" s="22">
        <f>SUM(H23:H29)</f>
        <v>26.39</v>
      </c>
      <c r="I30" s="22">
        <f>SUM(I23:I29)</f>
        <v>28.387333333333334</v>
      </c>
      <c r="J30" s="23">
        <f>SUM(J23:J29)</f>
        <v>97.415666666666667</v>
      </c>
    </row>
    <row r="31" spans="1:10" ht="19.8" customHeight="1" x14ac:dyDescent="0.3">
      <c r="A31" s="15" t="s">
        <v>25</v>
      </c>
      <c r="B31"/>
      <c r="C31"/>
      <c r="D31"/>
    </row>
    <row r="32" spans="1:10" customFormat="1" ht="19.8" customHeight="1" x14ac:dyDescent="0.3">
      <c r="A32" s="15" t="s">
        <v>29</v>
      </c>
      <c r="E32" s="17"/>
      <c r="F32" s="17"/>
      <c r="G32" s="16"/>
      <c r="H32" s="16"/>
      <c r="I32" s="16"/>
      <c r="J32" s="16"/>
    </row>
    <row r="33" spans="1:10" customFormat="1" x14ac:dyDescent="0.3">
      <c r="A33" s="16"/>
      <c r="B33" s="16"/>
      <c r="C33" s="16"/>
      <c r="D33" s="16"/>
      <c r="E33" s="17"/>
      <c r="F33" s="17"/>
      <c r="G33" s="16"/>
      <c r="H33" s="16"/>
      <c r="I33" s="16"/>
      <c r="J33" s="16"/>
    </row>
  </sheetData>
  <mergeCells count="1">
    <mergeCell ref="B1:D1"/>
  </mergeCells>
  <pageMargins left="0.31496062992125984" right="0.31496062992125984" top="0.31496062992125984" bottom="0.31496062992125984" header="0" footer="0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бесплатно</vt:lpstr>
      <vt:lpstr>платно</vt:lpstr>
      <vt:lpstr>бесплатно!Область_печати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Krapivina Mariya</cp:lastModifiedBy>
  <cp:lastPrinted>2024-10-23T03:15:15Z</cp:lastPrinted>
  <dcterms:created xsi:type="dcterms:W3CDTF">2015-06-05T18:19:34Z</dcterms:created>
  <dcterms:modified xsi:type="dcterms:W3CDTF">2025-04-23T12:20:21Z</dcterms:modified>
</cp:coreProperties>
</file>