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9A2FBC3D-585C-4D53-85A1-7996D4CE908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J10" i="2"/>
  <c r="J9" i="2"/>
  <c r="I10" i="2"/>
  <c r="I9" i="2"/>
  <c r="H10" i="2"/>
  <c r="H9" i="2"/>
  <c r="G10" i="2"/>
  <c r="G9" i="2"/>
  <c r="F10" i="2"/>
  <c r="F9" i="2"/>
  <c r="F6" i="2"/>
  <c r="J36" i="1"/>
  <c r="I36" i="1"/>
  <c r="H36" i="1"/>
  <c r="G36" i="1"/>
  <c r="J33" i="1"/>
  <c r="I33" i="1"/>
  <c r="H33" i="1"/>
  <c r="G33" i="1"/>
  <c r="J32" i="1"/>
  <c r="I32" i="1"/>
  <c r="H32" i="1"/>
  <c r="G32" i="1"/>
  <c r="I29" i="1"/>
  <c r="H29" i="1"/>
  <c r="G29" i="1"/>
  <c r="F33" i="1"/>
  <c r="F29" i="1"/>
  <c r="J45" i="1"/>
  <c r="I45" i="1"/>
  <c r="H45" i="1"/>
  <c r="G45" i="1"/>
  <c r="F45" i="1"/>
  <c r="F40" i="1"/>
  <c r="F17" i="1"/>
  <c r="J13" i="1"/>
  <c r="I13" i="1"/>
  <c r="H13" i="1"/>
  <c r="G13" i="1"/>
  <c r="F14" i="1"/>
  <c r="J10" i="1"/>
  <c r="I10" i="1"/>
  <c r="H10" i="1"/>
  <c r="G10" i="1"/>
  <c r="J9" i="1"/>
  <c r="I9" i="1"/>
  <c r="H9" i="1"/>
  <c r="G9" i="1"/>
  <c r="F9" i="1"/>
  <c r="F6" i="1"/>
  <c r="J34" i="2" l="1"/>
  <c r="I34" i="2"/>
  <c r="H34" i="2"/>
  <c r="G34" i="2"/>
  <c r="J33" i="2"/>
  <c r="I33" i="2"/>
  <c r="H33" i="2"/>
  <c r="G33" i="2"/>
  <c r="F34" i="2"/>
  <c r="F30" i="2"/>
  <c r="F27" i="2"/>
  <c r="J25" i="2"/>
  <c r="I25" i="2"/>
  <c r="H25" i="2"/>
  <c r="G25" i="2"/>
  <c r="J24" i="2"/>
  <c r="I24" i="2"/>
  <c r="H24" i="2"/>
  <c r="G24" i="2"/>
  <c r="F25" i="2"/>
  <c r="F21" i="2"/>
  <c r="F19" i="2"/>
  <c r="F13" i="2"/>
  <c r="J46" i="1"/>
  <c r="I46" i="1"/>
  <c r="H46" i="1"/>
  <c r="G46" i="1"/>
  <c r="F46" i="1"/>
  <c r="F42" i="1"/>
  <c r="F39" i="1"/>
  <c r="J23" i="1"/>
  <c r="I23" i="1"/>
  <c r="H23" i="1"/>
  <c r="G23" i="1"/>
  <c r="J22" i="1"/>
  <c r="I22" i="1"/>
  <c r="H22" i="1"/>
  <c r="G22" i="1"/>
  <c r="F22" i="1"/>
  <c r="F19" i="1"/>
  <c r="F16" i="1"/>
  <c r="J31" i="2" l="1"/>
  <c r="I31" i="2"/>
  <c r="H31" i="2"/>
  <c r="G31" i="2"/>
  <c r="F31" i="2"/>
  <c r="J30" i="2"/>
  <c r="I30" i="2"/>
  <c r="H30" i="2"/>
  <c r="G30" i="2"/>
  <c r="J29" i="2"/>
  <c r="I29" i="2"/>
  <c r="H29" i="2"/>
  <c r="G29" i="2"/>
  <c r="J17" i="2"/>
  <c r="I17" i="2"/>
  <c r="H17" i="2"/>
  <c r="G17" i="2"/>
  <c r="J21" i="2"/>
  <c r="I21" i="2"/>
  <c r="H21" i="2"/>
  <c r="G21" i="2"/>
  <c r="J13" i="2"/>
  <c r="I13" i="2"/>
  <c r="H13" i="2"/>
  <c r="G13" i="2"/>
  <c r="F22" i="2"/>
  <c r="F16" i="2"/>
  <c r="F14" i="2"/>
  <c r="F8" i="2"/>
  <c r="I6" i="2"/>
  <c r="H6" i="2"/>
  <c r="G6" i="2"/>
  <c r="F4" i="2"/>
  <c r="F43" i="1"/>
  <c r="J42" i="1"/>
  <c r="I42" i="1"/>
  <c r="H42" i="1"/>
  <c r="G42" i="1"/>
  <c r="J19" i="1"/>
  <c r="I19" i="1"/>
  <c r="H19" i="1"/>
  <c r="G19" i="1"/>
  <c r="F20" i="1"/>
  <c r="F18" i="1"/>
  <c r="F31" i="1"/>
  <c r="F27" i="1"/>
  <c r="I6" i="1"/>
  <c r="H6" i="1"/>
  <c r="G6" i="1"/>
  <c r="F8" i="1"/>
  <c r="F4" i="1"/>
  <c r="J20" i="1" l="1"/>
  <c r="I20" i="1"/>
  <c r="H20" i="1"/>
  <c r="G20" i="1"/>
  <c r="J37" i="1" l="1"/>
  <c r="I37" i="1"/>
  <c r="H37" i="1"/>
  <c r="G37" i="1"/>
  <c r="J14" i="1"/>
  <c r="I14" i="1"/>
  <c r="H14" i="1"/>
  <c r="G14" i="1"/>
  <c r="J27" i="2" l="1"/>
  <c r="I27" i="2"/>
  <c r="H27" i="2"/>
  <c r="G27" i="2"/>
  <c r="J22" i="2"/>
  <c r="I22" i="2"/>
  <c r="H22" i="2"/>
  <c r="G22" i="2"/>
  <c r="J16" i="2"/>
  <c r="I16" i="2"/>
  <c r="H16" i="2"/>
  <c r="G16" i="2"/>
  <c r="J14" i="2" l="1"/>
  <c r="I14" i="2"/>
  <c r="H14" i="2"/>
  <c r="G14" i="2"/>
  <c r="J12" i="2"/>
  <c r="I12" i="2"/>
  <c r="H12" i="2"/>
  <c r="G12" i="2"/>
  <c r="G18" i="2" l="1"/>
  <c r="I18" i="2"/>
  <c r="F18" i="2"/>
  <c r="J18" i="2"/>
  <c r="H18" i="2"/>
  <c r="F47" i="1" l="1"/>
  <c r="J19" i="2" l="1"/>
  <c r="I19" i="2"/>
  <c r="H19" i="2"/>
  <c r="G19" i="2"/>
  <c r="J30" i="1"/>
  <c r="I30" i="1"/>
  <c r="H30" i="1"/>
  <c r="G30" i="1"/>
  <c r="J16" i="1"/>
  <c r="I16" i="1"/>
  <c r="H16" i="1"/>
  <c r="G16" i="1"/>
  <c r="J20" i="2" l="1"/>
  <c r="I20" i="2"/>
  <c r="H20" i="2"/>
  <c r="G20" i="2"/>
  <c r="G41" i="1"/>
  <c r="J7" i="2"/>
  <c r="I7" i="2"/>
  <c r="H7" i="2"/>
  <c r="G7" i="2"/>
  <c r="J4" i="2"/>
  <c r="I4" i="2"/>
  <c r="H4" i="2"/>
  <c r="G4" i="2"/>
  <c r="J43" i="1"/>
  <c r="I43" i="1"/>
  <c r="H43" i="1"/>
  <c r="G43" i="1"/>
  <c r="J41" i="1"/>
  <c r="I41" i="1"/>
  <c r="H41" i="1"/>
  <c r="F38" i="1"/>
  <c r="J27" i="1"/>
  <c r="I27" i="1"/>
  <c r="H27" i="1"/>
  <c r="G27" i="1"/>
  <c r="F15" i="1"/>
  <c r="J7" i="1"/>
  <c r="I7" i="1"/>
  <c r="H7" i="1"/>
  <c r="G7" i="1"/>
  <c r="F35" i="2" l="1"/>
  <c r="F24" i="1"/>
  <c r="G18" i="1" l="1"/>
  <c r="J18" i="1"/>
  <c r="I18" i="1"/>
  <c r="H18" i="1"/>
  <c r="F34" i="1" l="1"/>
  <c r="F11" i="1"/>
  <c r="J4" i="1"/>
  <c r="I4" i="1"/>
  <c r="H4" i="1"/>
  <c r="G4" i="1"/>
  <c r="G38" i="1"/>
  <c r="I35" i="2"/>
  <c r="H35" i="2"/>
  <c r="J34" i="1"/>
  <c r="J38" i="1"/>
  <c r="I38" i="1"/>
  <c r="H38" i="1"/>
  <c r="H34" i="1"/>
  <c r="J15" i="1"/>
  <c r="I15" i="1"/>
  <c r="H15" i="1"/>
  <c r="G15" i="1"/>
  <c r="I34" i="1" l="1"/>
  <c r="G35" i="2"/>
  <c r="J35" i="2"/>
  <c r="F26" i="2"/>
  <c r="F11" i="2"/>
  <c r="G34" i="1"/>
  <c r="I24" i="1"/>
  <c r="G26" i="2"/>
  <c r="G24" i="1"/>
  <c r="H26" i="2"/>
  <c r="J26" i="2"/>
  <c r="I26" i="2"/>
  <c r="H24" i="1" l="1"/>
  <c r="H47" i="1" l="1"/>
  <c r="I11" i="2" l="1"/>
  <c r="H11" i="2"/>
  <c r="J11" i="2"/>
  <c r="I47" i="1"/>
  <c r="J47" i="1"/>
  <c r="G47" i="1"/>
  <c r="G11" i="2"/>
  <c r="H11" i="1" l="1"/>
  <c r="G11" i="1"/>
  <c r="J11" i="1" l="1"/>
  <c r="I11" i="1" l="1"/>
  <c r="J24" i="1"/>
</calcChain>
</file>

<file path=xl/sharedStrings.xml><?xml version="1.0" encoding="utf-8"?>
<sst xmlns="http://schemas.openxmlformats.org/spreadsheetml/2006/main" count="236" uniqueCount="67">
  <si>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</si>
  <si>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</si>
  <si>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</si>
  <si>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</si>
  <si>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</si>
  <si>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</si>
  <si>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</si>
  <si>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</si>
  <si>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</si>
  <si>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</si>
  <si>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</si>
  <si>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</si>
  <si>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</si>
  <si>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</si>
  <si>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</si>
  <si>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</si>
  <si>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</si>
  <si>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</si>
  <si>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</si>
  <si>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</si>
  <si>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</si>
  <si>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</si>
  <si>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</si>
  <si>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</si>
  <si>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</si>
  <si>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</si>
  <si>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За наличный расчет</t>
  </si>
  <si>
    <t>добавки</t>
  </si>
  <si>
    <t>200</t>
  </si>
  <si>
    <t xml:space="preserve"> </t>
  </si>
  <si>
    <t>Сыр (порциями)</t>
  </si>
  <si>
    <t>Батон</t>
  </si>
  <si>
    <t>Зав.производством __________________________________</t>
  </si>
  <si>
    <t>гарнир</t>
  </si>
  <si>
    <t>Каша "Дружба"</t>
  </si>
  <si>
    <t>Творожное печенье</t>
  </si>
  <si>
    <t>100</t>
  </si>
  <si>
    <t>Булочка дорожная</t>
  </si>
  <si>
    <t>Чай с лимоном</t>
  </si>
  <si>
    <t>Яблоко</t>
  </si>
  <si>
    <t>Напиток "Витошка"</t>
  </si>
  <si>
    <t>Икра кабачковая</t>
  </si>
  <si>
    <t>250</t>
  </si>
  <si>
    <t xml:space="preserve">гп </t>
  </si>
  <si>
    <t>Соус красный основной</t>
  </si>
  <si>
    <t>90</t>
  </si>
  <si>
    <t>День 11</t>
  </si>
  <si>
    <t>Масло сливочное (порциями)</t>
  </si>
  <si>
    <t>Компот из смеси сухофруктов</t>
  </si>
  <si>
    <t>Котлеты рубленные из птицы</t>
  </si>
  <si>
    <t>Каша гречневая рассыпчатая</t>
  </si>
  <si>
    <t>Икра кабачковая (пром.производства)</t>
  </si>
  <si>
    <t>Борщ с капустой и картофелем со сметаной, с мясом птицы</t>
  </si>
  <si>
    <t>6-11 лет</t>
  </si>
  <si>
    <t>12-18 лет</t>
  </si>
  <si>
    <t>180</t>
  </si>
  <si>
    <t>Бухгалтер-калькулятор _______________________________</t>
  </si>
  <si>
    <t>235/5/10</t>
  </si>
  <si>
    <t>150</t>
  </si>
  <si>
    <t>230/5/15</t>
  </si>
  <si>
    <t>31</t>
  </si>
  <si>
    <t>20</t>
  </si>
  <si>
    <t>30</t>
  </si>
  <si>
    <t>33</t>
  </si>
  <si>
    <t>40</t>
  </si>
  <si>
    <t>32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</si>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</sst>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5" xfId="0" applyBorder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2" xfId="0" applyFont="1" applyBorder="1"/>
    <xf numFmtId="0" fontId="3" fillId="0" borderId="14" xfId="0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2" fontId="0" fillId="0" borderId="1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6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8" fillId="0" borderId="1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/>
    </xf>
    <xf numFmtId="0" fontId="3" fillId="0" borderId="4" xfId="0" applyFont="1" applyBorder="1"/>
    <xf numFmtId="2" fontId="0" fillId="0" borderId="20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6" fillId="0" borderId="18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2" fillId="0" borderId="21" xfId="0" applyFont="1" applyBorder="1" applyAlignment="1" applyProtection="1">
      <alignment horizontal="center"/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23" xfId="0" applyBorder="1"/>
    <xf numFmtId="0" fontId="3" fillId="0" borderId="24" xfId="0" applyFont="1" applyBorder="1"/>
    <xf numFmtId="0" fontId="3" fillId="0" borderId="25" xfId="0" applyFont="1" applyBorder="1"/>
    <xf numFmtId="0" fontId="0" fillId="0" borderId="26" xfId="0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Protection="1">
      <protection locked="0"/>
    </xf>
    <xf numFmtId="0" fontId="2" fillId="0" borderId="9" xfId="0" applyFont="1" applyBorder="1" applyAlignment="1">
      <alignment horizontal="left" vertical="center" wrapText="1"/>
    </xf>
    <xf numFmtId="0" fontId="3" fillId="0" borderId="30" xfId="0" applyFont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zoomScaleNormal="100" workbookViewId="0">
      <selection activeCell="I1" sqref="I1:I1048576"/>
    </sheetView>
  </sheetViews>
  <sheetFormatPr defaultRowHeight="14.4" x14ac:dyDescent="0.3"/>
  <cols>
    <col min="1" max="1" width="12.33203125" customWidth="1"/>
    <col min="2" max="2" width="11.5546875" customWidth="1"/>
    <col min="3" max="3" width="7.109375" bestFit="1" customWidth="1"/>
    <col min="4" max="4" width="29.33203125" customWidth="1"/>
    <col min="5" max="5" width="10.6640625" style="13" customWidth="1"/>
    <col min="6" max="6" width="8.21875" style="13" bestFit="1" customWidth="1"/>
    <col min="7" max="7" width="7.6640625" customWidth="1"/>
    <col min="8" max="8" width="7.77734375" bestFit="1" customWidth="1"/>
    <col min="9" max="9" width="10.109375" bestFit="1" customWidth="1"/>
    <col min="10" max="10" width="9.33203125" bestFit="1" customWidth="1"/>
  </cols>
  <sheetData>
    <row r="1" spans="1:10" ht="28.8" customHeight="1" x14ac:dyDescent="0.3">
      <c r="A1" t="s">
        <v>0</v>
      </c>
      <c r="B1" s="120" t="s">
        <v>66</v>
      </c>
      <c r="C1" s="121"/>
      <c r="D1" s="122"/>
      <c r="E1" s="13" t="s">
        <v>25</v>
      </c>
      <c r="F1" s="12"/>
      <c r="H1" s="103" t="s">
        <v>46</v>
      </c>
      <c r="I1" s="11">
        <v>45772</v>
      </c>
    </row>
    <row r="2" spans="1:10" ht="15" thickBot="1" x14ac:dyDescent="0.35">
      <c r="B2" s="1" t="s">
        <v>53</v>
      </c>
    </row>
    <row r="3" spans="1:10" s="18" customFormat="1" ht="29.4" thickBot="1" x14ac:dyDescent="0.35">
      <c r="A3" s="14" t="s">
        <v>1</v>
      </c>
      <c r="B3" s="15" t="s">
        <v>2</v>
      </c>
      <c r="C3" s="15" t="s">
        <v>18</v>
      </c>
      <c r="D3" s="15" t="s">
        <v>3</v>
      </c>
      <c r="E3" s="35" t="s">
        <v>19</v>
      </c>
      <c r="F3" s="35" t="s">
        <v>4</v>
      </c>
      <c r="G3" s="16" t="s">
        <v>5</v>
      </c>
      <c r="H3" s="15" t="s">
        <v>6</v>
      </c>
      <c r="I3" s="15" t="s">
        <v>7</v>
      </c>
      <c r="J3" s="17" t="s">
        <v>8</v>
      </c>
    </row>
    <row r="4" spans="1:10" ht="15.6" x14ac:dyDescent="0.3">
      <c r="A4" s="108" t="s">
        <v>9</v>
      </c>
      <c r="B4" s="104" t="s">
        <v>10</v>
      </c>
      <c r="C4" s="65">
        <v>46</v>
      </c>
      <c r="D4" s="66" t="s">
        <v>34</v>
      </c>
      <c r="E4" s="67" t="s">
        <v>42</v>
      </c>
      <c r="F4" s="68">
        <f>18.31*250/200</f>
        <v>22.887499999999999</v>
      </c>
      <c r="G4" s="62">
        <f>199*250/200</f>
        <v>248.75</v>
      </c>
      <c r="H4" s="62">
        <f>5.24*250/200</f>
        <v>6.55</v>
      </c>
      <c r="I4" s="62">
        <f>7.44*250/200</f>
        <v>9.3000000000000007</v>
      </c>
      <c r="J4" s="63">
        <f>28.11*250/200</f>
        <v>35.137500000000003</v>
      </c>
    </row>
    <row r="5" spans="1:10" ht="15.6" x14ac:dyDescent="0.3">
      <c r="A5" s="109"/>
      <c r="B5" s="105" t="s">
        <v>11</v>
      </c>
      <c r="C5" s="69">
        <v>30</v>
      </c>
      <c r="D5" s="70" t="s">
        <v>38</v>
      </c>
      <c r="E5" s="71" t="s">
        <v>28</v>
      </c>
      <c r="F5" s="72">
        <v>3.01</v>
      </c>
      <c r="G5" s="6">
        <v>43</v>
      </c>
      <c r="H5" s="6">
        <v>0.06</v>
      </c>
      <c r="I5" s="6">
        <v>0.01</v>
      </c>
      <c r="J5" s="7">
        <v>10.220000000000001</v>
      </c>
    </row>
    <row r="6" spans="1:10" ht="15.6" x14ac:dyDescent="0.3">
      <c r="A6" s="109"/>
      <c r="B6" s="106" t="s">
        <v>27</v>
      </c>
      <c r="C6" s="73">
        <v>6</v>
      </c>
      <c r="D6" s="74" t="s">
        <v>30</v>
      </c>
      <c r="E6" s="75">
        <v>14</v>
      </c>
      <c r="F6" s="49">
        <f>9.98*14/12</f>
        <v>11.643333333333333</v>
      </c>
      <c r="G6" s="6">
        <f>42*14/10</f>
        <v>58.8</v>
      </c>
      <c r="H6" s="6">
        <f>3.16*14/10</f>
        <v>4.4240000000000004</v>
      </c>
      <c r="I6" s="6">
        <f>3.19*14/10</f>
        <v>4.4659999999999993</v>
      </c>
      <c r="J6" s="7">
        <v>0</v>
      </c>
    </row>
    <row r="7" spans="1:10" ht="15.6" x14ac:dyDescent="0.3">
      <c r="A7" s="109"/>
      <c r="B7" s="106" t="s">
        <v>27</v>
      </c>
      <c r="C7" s="73">
        <v>3</v>
      </c>
      <c r="D7" s="74" t="s">
        <v>47</v>
      </c>
      <c r="E7" s="75">
        <v>10</v>
      </c>
      <c r="F7" s="49">
        <v>12.59</v>
      </c>
      <c r="G7" s="6">
        <f>65</f>
        <v>65</v>
      </c>
      <c r="H7" s="6">
        <f>0.08</f>
        <v>0.08</v>
      </c>
      <c r="I7" s="6">
        <f>7.15</f>
        <v>7.15</v>
      </c>
      <c r="J7" s="7">
        <f>0.13</f>
        <v>0.13</v>
      </c>
    </row>
    <row r="8" spans="1:10" ht="15.6" x14ac:dyDescent="0.3">
      <c r="A8" s="109"/>
      <c r="B8" s="106" t="s">
        <v>27</v>
      </c>
      <c r="C8" s="76">
        <v>38</v>
      </c>
      <c r="D8" s="74" t="s">
        <v>35</v>
      </c>
      <c r="E8" s="75">
        <v>57</v>
      </c>
      <c r="F8" s="49">
        <f>179.51*0.057</f>
        <v>10.23207</v>
      </c>
      <c r="G8" s="6">
        <v>83.79</v>
      </c>
      <c r="H8" s="6">
        <v>4.67</v>
      </c>
      <c r="I8" s="6">
        <v>1.79</v>
      </c>
      <c r="J8" s="7">
        <v>12.12</v>
      </c>
    </row>
    <row r="9" spans="1:10" ht="15.6" x14ac:dyDescent="0.3">
      <c r="A9" s="109"/>
      <c r="B9" s="113" t="s">
        <v>16</v>
      </c>
      <c r="C9" s="73" t="s">
        <v>20</v>
      </c>
      <c r="D9" s="74" t="s">
        <v>21</v>
      </c>
      <c r="E9" s="75">
        <v>26</v>
      </c>
      <c r="F9" s="49">
        <f>57.54*0.026</f>
        <v>1.4960399999999998</v>
      </c>
      <c r="G9" s="6">
        <f>42*26/20</f>
        <v>54.6</v>
      </c>
      <c r="H9" s="6">
        <f>0.98*26/20</f>
        <v>1.274</v>
      </c>
      <c r="I9" s="6">
        <f>0.2*26/20</f>
        <v>0.26</v>
      </c>
      <c r="J9" s="7">
        <f>8.96*26/20</f>
        <v>11.648000000000001</v>
      </c>
    </row>
    <row r="10" spans="1:10" ht="15.6" x14ac:dyDescent="0.3">
      <c r="A10" s="109"/>
      <c r="B10" s="114" t="s">
        <v>17</v>
      </c>
      <c r="C10" s="73" t="s">
        <v>20</v>
      </c>
      <c r="D10" s="74" t="s">
        <v>31</v>
      </c>
      <c r="E10" s="75">
        <v>27</v>
      </c>
      <c r="F10" s="49">
        <v>2.66</v>
      </c>
      <c r="G10" s="6">
        <f>47*27/20</f>
        <v>63.45</v>
      </c>
      <c r="H10" s="6">
        <f>1.52*27/20</f>
        <v>2.052</v>
      </c>
      <c r="I10" s="6">
        <f>0.16*27/20</f>
        <v>0.21600000000000003</v>
      </c>
      <c r="J10" s="7">
        <f>9.84*27/20</f>
        <v>13.284000000000001</v>
      </c>
    </row>
    <row r="11" spans="1:10" ht="16.2" thickBot="1" x14ac:dyDescent="0.35">
      <c r="A11" s="110"/>
      <c r="B11" s="107"/>
      <c r="C11" s="77"/>
      <c r="D11" s="78"/>
      <c r="E11" s="79"/>
      <c r="F11" s="80">
        <f>SUM(F4:F10)</f>
        <v>64.518943333333326</v>
      </c>
      <c r="G11" s="47">
        <f>SUM(G4:G10)</f>
        <v>617.3900000000001</v>
      </c>
      <c r="H11" s="47">
        <f>SUM(H4:H10)</f>
        <v>19.11</v>
      </c>
      <c r="I11" s="47">
        <f>SUM(I4:I10)</f>
        <v>23.192000000000004</v>
      </c>
      <c r="J11" s="61">
        <f>SUM(J4:J10)</f>
        <v>82.539500000000004</v>
      </c>
    </row>
    <row r="12" spans="1:10" ht="15.6" x14ac:dyDescent="0.3">
      <c r="A12" s="108" t="s">
        <v>22</v>
      </c>
      <c r="B12" s="105" t="s">
        <v>11</v>
      </c>
      <c r="C12" s="81">
        <v>29</v>
      </c>
      <c r="D12" s="82" t="s">
        <v>40</v>
      </c>
      <c r="E12" s="83">
        <v>200</v>
      </c>
      <c r="F12" s="68">
        <v>10.8</v>
      </c>
      <c r="G12" s="3">
        <v>78</v>
      </c>
      <c r="H12" s="3">
        <v>0</v>
      </c>
      <c r="I12" s="3">
        <v>0</v>
      </c>
      <c r="J12" s="4">
        <v>19.399999999999999</v>
      </c>
    </row>
    <row r="13" spans="1:10" ht="15.6" x14ac:dyDescent="0.3">
      <c r="A13" s="109"/>
      <c r="B13" s="106" t="s">
        <v>27</v>
      </c>
      <c r="C13" s="84" t="s">
        <v>20</v>
      </c>
      <c r="D13" s="85" t="s">
        <v>39</v>
      </c>
      <c r="E13" s="86">
        <v>133</v>
      </c>
      <c r="F13" s="72">
        <v>22.32</v>
      </c>
      <c r="G13" s="10">
        <f>47*133/100</f>
        <v>62.51</v>
      </c>
      <c r="H13" s="10">
        <f>0.4*133/100</f>
        <v>0.53200000000000003</v>
      </c>
      <c r="I13" s="10">
        <f>0.4*133/100</f>
        <v>0.53200000000000003</v>
      </c>
      <c r="J13" s="30">
        <f>9.8*133/100</f>
        <v>13.034000000000001</v>
      </c>
    </row>
    <row r="14" spans="1:10" ht="15.6" x14ac:dyDescent="0.3">
      <c r="A14" s="109"/>
      <c r="B14" s="106" t="s">
        <v>27</v>
      </c>
      <c r="C14" s="97">
        <v>58</v>
      </c>
      <c r="D14" s="85" t="s">
        <v>37</v>
      </c>
      <c r="E14" s="98">
        <v>50</v>
      </c>
      <c r="F14" s="99">
        <f>15.27/50*50</f>
        <v>15.27</v>
      </c>
      <c r="G14" s="100">
        <f>208/50*50</f>
        <v>208</v>
      </c>
      <c r="H14" s="100">
        <f>6.76/50*50</f>
        <v>6.76</v>
      </c>
      <c r="I14" s="100">
        <f>8.61/50*50</f>
        <v>8.61</v>
      </c>
      <c r="J14" s="101">
        <f>23.42/50*50</f>
        <v>23.42</v>
      </c>
    </row>
    <row r="15" spans="1:10" ht="16.2" thickBot="1" x14ac:dyDescent="0.35">
      <c r="A15" s="110"/>
      <c r="B15" s="111"/>
      <c r="C15" s="87"/>
      <c r="D15" s="88"/>
      <c r="E15" s="89"/>
      <c r="F15" s="90">
        <f>SUM(F12:F14)</f>
        <v>48.39</v>
      </c>
      <c r="G15" s="50">
        <f>SUM(G12:G14)</f>
        <v>348.51</v>
      </c>
      <c r="H15" s="50">
        <f>SUM(H12:H14)</f>
        <v>7.2919999999999998</v>
      </c>
      <c r="I15" s="50">
        <f>SUM(I12:I14)</f>
        <v>9.1419999999999995</v>
      </c>
      <c r="J15" s="51">
        <f>SUM(J12:J14)</f>
        <v>55.853999999999999</v>
      </c>
    </row>
    <row r="16" spans="1:10" ht="28.8" x14ac:dyDescent="0.3">
      <c r="A16" s="108" t="s">
        <v>12</v>
      </c>
      <c r="B16" s="104" t="s">
        <v>13</v>
      </c>
      <c r="C16" s="91">
        <v>27</v>
      </c>
      <c r="D16" s="115" t="s">
        <v>51</v>
      </c>
      <c r="E16" s="35">
        <v>60</v>
      </c>
      <c r="F16" s="93">
        <f>9.15*60/60</f>
        <v>9.15</v>
      </c>
      <c r="G16" s="94">
        <f>47*60/60</f>
        <v>47</v>
      </c>
      <c r="H16" s="95">
        <f>0.72*60/60</f>
        <v>0.72</v>
      </c>
      <c r="I16" s="95">
        <f>2.82*60/60</f>
        <v>2.82</v>
      </c>
      <c r="J16" s="96">
        <f>4.62*60/60</f>
        <v>4.62</v>
      </c>
    </row>
    <row r="17" spans="1:10" ht="28.8" x14ac:dyDescent="0.3">
      <c r="A17" s="109"/>
      <c r="B17" s="112" t="s">
        <v>14</v>
      </c>
      <c r="C17" s="40">
        <v>22</v>
      </c>
      <c r="D17" s="41" t="s">
        <v>52</v>
      </c>
      <c r="E17" s="64" t="s">
        <v>59</v>
      </c>
      <c r="F17" s="49">
        <f>13.13*230/245+1.92+5.88*1.5</f>
        <v>23.066122448979591</v>
      </c>
      <c r="G17" s="6">
        <v>113</v>
      </c>
      <c r="H17" s="6">
        <v>1.8</v>
      </c>
      <c r="I17" s="6">
        <v>6.09</v>
      </c>
      <c r="J17" s="7">
        <v>9.73</v>
      </c>
    </row>
    <row r="18" spans="1:10" ht="15.6" x14ac:dyDescent="0.3">
      <c r="A18" s="109"/>
      <c r="B18" s="112" t="s">
        <v>15</v>
      </c>
      <c r="C18" s="40">
        <v>14</v>
      </c>
      <c r="D18" s="41" t="s">
        <v>49</v>
      </c>
      <c r="E18" s="36" t="s">
        <v>45</v>
      </c>
      <c r="F18" s="49">
        <f>44.02*90/90</f>
        <v>44.02</v>
      </c>
      <c r="G18" s="6">
        <f>211*90/90</f>
        <v>211</v>
      </c>
      <c r="H18" s="6">
        <f>16.06*90/90</f>
        <v>16.059999999999999</v>
      </c>
      <c r="I18" s="6">
        <f>10.5*90/90</f>
        <v>10.5</v>
      </c>
      <c r="J18" s="7">
        <f>10.25*90/90</f>
        <v>10.25</v>
      </c>
    </row>
    <row r="19" spans="1:10" ht="15.6" x14ac:dyDescent="0.3">
      <c r="A19" s="109"/>
      <c r="B19" s="106" t="s">
        <v>27</v>
      </c>
      <c r="C19" s="40">
        <v>31</v>
      </c>
      <c r="D19" s="41" t="s">
        <v>44</v>
      </c>
      <c r="E19" s="36" t="s">
        <v>61</v>
      </c>
      <c r="F19" s="49">
        <f>1.56*20/20</f>
        <v>1.56</v>
      </c>
      <c r="G19" s="6">
        <f>10.33*20/20</f>
        <v>10.33</v>
      </c>
      <c r="H19" s="6">
        <f>0.29*20/20</f>
        <v>0.28999999999999998</v>
      </c>
      <c r="I19" s="6">
        <f>0.39*20/20</f>
        <v>0.39</v>
      </c>
      <c r="J19" s="7">
        <f>1.36*20/20</f>
        <v>1.36</v>
      </c>
    </row>
    <row r="20" spans="1:10" ht="15.6" x14ac:dyDescent="0.3">
      <c r="A20" s="109"/>
      <c r="B20" s="112" t="s">
        <v>33</v>
      </c>
      <c r="C20" s="40">
        <v>24</v>
      </c>
      <c r="D20" s="41" t="s">
        <v>50</v>
      </c>
      <c r="E20" s="36" t="s">
        <v>58</v>
      </c>
      <c r="F20" s="49">
        <f>11.69*150/150</f>
        <v>11.69</v>
      </c>
      <c r="G20" s="6">
        <f>222.84*150/150</f>
        <v>222.84</v>
      </c>
      <c r="H20" s="6">
        <f>8.21*150/150</f>
        <v>8.2100000000000009</v>
      </c>
      <c r="I20" s="6">
        <f>5.15*150/150</f>
        <v>5.15</v>
      </c>
      <c r="J20" s="7">
        <f>35.91*150/150</f>
        <v>35.909999999999997</v>
      </c>
    </row>
    <row r="21" spans="1:10" ht="15.6" x14ac:dyDescent="0.3">
      <c r="A21" s="109"/>
      <c r="B21" s="112" t="s">
        <v>23</v>
      </c>
      <c r="C21" s="40">
        <v>17</v>
      </c>
      <c r="D21" s="41" t="s">
        <v>48</v>
      </c>
      <c r="E21" s="36" t="s">
        <v>28</v>
      </c>
      <c r="F21" s="49">
        <v>3.19</v>
      </c>
      <c r="G21" s="6">
        <v>80</v>
      </c>
      <c r="H21" s="6">
        <v>0.44</v>
      </c>
      <c r="I21" s="6">
        <v>0</v>
      </c>
      <c r="J21" s="7">
        <v>18.899999999999999</v>
      </c>
    </row>
    <row r="22" spans="1:10" ht="15.6" x14ac:dyDescent="0.3">
      <c r="A22" s="109"/>
      <c r="B22" s="113" t="s">
        <v>16</v>
      </c>
      <c r="C22" s="40" t="s">
        <v>20</v>
      </c>
      <c r="D22" s="41" t="s">
        <v>21</v>
      </c>
      <c r="E22" s="36" t="s">
        <v>62</v>
      </c>
      <c r="F22" s="49">
        <f>57.54*0.03</f>
        <v>1.7262</v>
      </c>
      <c r="G22" s="6">
        <f>63*30/30</f>
        <v>63</v>
      </c>
      <c r="H22" s="6">
        <f>1.47*30/30</f>
        <v>1.47</v>
      </c>
      <c r="I22" s="6">
        <f>0.3*30/30</f>
        <v>0.3</v>
      </c>
      <c r="J22" s="7">
        <f>13.44*30/30</f>
        <v>13.44</v>
      </c>
    </row>
    <row r="23" spans="1:10" ht="15.6" x14ac:dyDescent="0.3">
      <c r="A23" s="109"/>
      <c r="B23" s="114" t="s">
        <v>17</v>
      </c>
      <c r="C23" s="42" t="s">
        <v>43</v>
      </c>
      <c r="D23" s="43" t="s">
        <v>24</v>
      </c>
      <c r="E23" s="37" t="s">
        <v>60</v>
      </c>
      <c r="F23" s="52">
        <v>2.39</v>
      </c>
      <c r="G23" s="8">
        <f>70.5*31/30</f>
        <v>72.849999999999994</v>
      </c>
      <c r="H23" s="8">
        <f>2.28*31/30</f>
        <v>2.3559999999999999</v>
      </c>
      <c r="I23" s="8">
        <f>0.24*31/30</f>
        <v>0.24799999999999997</v>
      </c>
      <c r="J23" s="9">
        <f>14.76*31/30</f>
        <v>15.252000000000001</v>
      </c>
    </row>
    <row r="24" spans="1:10" ht="16.2" thickBot="1" x14ac:dyDescent="0.35">
      <c r="A24" s="110"/>
      <c r="B24" s="111"/>
      <c r="C24" s="32"/>
      <c r="D24" s="32"/>
      <c r="E24" s="53"/>
      <c r="F24" s="53">
        <f>SUM(F16:F23)</f>
        <v>96.79232244897959</v>
      </c>
      <c r="G24" s="33">
        <f>SUM(G16:G23)</f>
        <v>820.02</v>
      </c>
      <c r="H24" s="33">
        <f>SUM(H16:H23)</f>
        <v>31.345999999999997</v>
      </c>
      <c r="I24" s="33">
        <f>SUM(I16:I23)</f>
        <v>25.498000000000005</v>
      </c>
      <c r="J24" s="34">
        <f>SUM(J16:J23)</f>
        <v>109.46199999999999</v>
      </c>
    </row>
    <row r="25" spans="1:10" ht="16.2" thickBot="1" x14ac:dyDescent="0.35">
      <c r="B25" s="1" t="s">
        <v>54</v>
      </c>
      <c r="E25" s="38"/>
      <c r="F25" s="38"/>
    </row>
    <row r="26" spans="1:10" ht="29.4" thickBot="1" x14ac:dyDescent="0.35">
      <c r="A26" s="14" t="s">
        <v>1</v>
      </c>
      <c r="B26" s="15" t="s">
        <v>2</v>
      </c>
      <c r="C26" s="15" t="s">
        <v>18</v>
      </c>
      <c r="D26" s="15" t="s">
        <v>3</v>
      </c>
      <c r="E26" s="35" t="s">
        <v>19</v>
      </c>
      <c r="F26" s="35" t="s">
        <v>4</v>
      </c>
      <c r="G26" s="16" t="s">
        <v>5</v>
      </c>
      <c r="H26" s="15" t="s">
        <v>6</v>
      </c>
      <c r="I26" s="15" t="s">
        <v>7</v>
      </c>
      <c r="J26" s="17" t="s">
        <v>8</v>
      </c>
    </row>
    <row r="27" spans="1:10" ht="15.6" x14ac:dyDescent="0.3">
      <c r="A27" s="108" t="s">
        <v>9</v>
      </c>
      <c r="B27" s="2" t="s">
        <v>10</v>
      </c>
      <c r="C27" s="65">
        <v>46</v>
      </c>
      <c r="D27" s="66" t="s">
        <v>34</v>
      </c>
      <c r="E27" s="67" t="s">
        <v>42</v>
      </c>
      <c r="F27" s="68">
        <f>18.31*250/200</f>
        <v>22.887499999999999</v>
      </c>
      <c r="G27" s="62">
        <f>199*250/200</f>
        <v>248.75</v>
      </c>
      <c r="H27" s="62">
        <f>5.24*250/200</f>
        <v>6.55</v>
      </c>
      <c r="I27" s="62">
        <f>7.44*250/200</f>
        <v>9.3000000000000007</v>
      </c>
      <c r="J27" s="63">
        <f>28.11*250/200</f>
        <v>35.137500000000003</v>
      </c>
    </row>
    <row r="28" spans="1:10" ht="15.6" x14ac:dyDescent="0.3">
      <c r="A28" s="109"/>
      <c r="B28" s="60" t="s">
        <v>11</v>
      </c>
      <c r="C28" s="69">
        <v>30</v>
      </c>
      <c r="D28" s="70" t="s">
        <v>38</v>
      </c>
      <c r="E28" s="71" t="s">
        <v>28</v>
      </c>
      <c r="F28" s="72">
        <v>3.01</v>
      </c>
      <c r="G28" s="6">
        <v>43</v>
      </c>
      <c r="H28" s="6">
        <v>0.06</v>
      </c>
      <c r="I28" s="6">
        <v>0.01</v>
      </c>
      <c r="J28" s="7">
        <v>10.220000000000001</v>
      </c>
    </row>
    <row r="29" spans="1:10" ht="15.6" x14ac:dyDescent="0.3">
      <c r="A29" s="109"/>
      <c r="B29" s="26" t="s">
        <v>27</v>
      </c>
      <c r="C29" s="73">
        <v>6</v>
      </c>
      <c r="D29" s="74" t="s">
        <v>30</v>
      </c>
      <c r="E29" s="75">
        <v>21</v>
      </c>
      <c r="F29" s="49">
        <f>12.28*21/15</f>
        <v>17.192</v>
      </c>
      <c r="G29" s="6">
        <f>52.5*21/12</f>
        <v>91.875</v>
      </c>
      <c r="H29" s="6">
        <f>3.95*21/12</f>
        <v>6.9125000000000005</v>
      </c>
      <c r="I29" s="6">
        <f>3.99*21/12</f>
        <v>6.9825000000000008</v>
      </c>
      <c r="J29" s="7">
        <v>0</v>
      </c>
    </row>
    <row r="30" spans="1:10" ht="15.6" x14ac:dyDescent="0.3">
      <c r="A30" s="109"/>
      <c r="B30" s="26" t="s">
        <v>27</v>
      </c>
      <c r="C30" s="73">
        <v>3</v>
      </c>
      <c r="D30" s="74" t="s">
        <v>47</v>
      </c>
      <c r="E30" s="75">
        <v>10</v>
      </c>
      <c r="F30" s="49">
        <v>12.59</v>
      </c>
      <c r="G30" s="6">
        <f>65</f>
        <v>65</v>
      </c>
      <c r="H30" s="6">
        <f>0.08</f>
        <v>0.08</v>
      </c>
      <c r="I30" s="6">
        <f>7.15</f>
        <v>7.15</v>
      </c>
      <c r="J30" s="7">
        <f>0.13</f>
        <v>0.13</v>
      </c>
    </row>
    <row r="31" spans="1:10" ht="15.6" x14ac:dyDescent="0.3">
      <c r="A31" s="109"/>
      <c r="B31" s="26" t="s">
        <v>27</v>
      </c>
      <c r="C31" s="76">
        <v>38</v>
      </c>
      <c r="D31" s="74" t="s">
        <v>35</v>
      </c>
      <c r="E31" s="75">
        <v>76</v>
      </c>
      <c r="F31" s="49">
        <f>179.51*0.076</f>
        <v>13.642759999999999</v>
      </c>
      <c r="G31" s="6">
        <v>167.58</v>
      </c>
      <c r="H31" s="6">
        <v>9.34</v>
      </c>
      <c r="I31" s="6">
        <v>3.58</v>
      </c>
      <c r="J31" s="7">
        <v>24.24</v>
      </c>
    </row>
    <row r="32" spans="1:10" ht="15.6" x14ac:dyDescent="0.3">
      <c r="A32" s="109"/>
      <c r="B32" s="26" t="s">
        <v>16</v>
      </c>
      <c r="C32" s="73" t="s">
        <v>20</v>
      </c>
      <c r="D32" s="74" t="s">
        <v>21</v>
      </c>
      <c r="E32" s="75">
        <v>36</v>
      </c>
      <c r="F32" s="49">
        <v>2.04</v>
      </c>
      <c r="G32" s="6">
        <f>63*36/30</f>
        <v>75.599999999999994</v>
      </c>
      <c r="H32" s="6">
        <f>1.47*36/30</f>
        <v>1.764</v>
      </c>
      <c r="I32" s="6">
        <f>0.3*36/30</f>
        <v>0.36</v>
      </c>
      <c r="J32" s="7">
        <f>13.44*36/30</f>
        <v>16.128</v>
      </c>
    </row>
    <row r="33" spans="1:13" ht="15.6" x14ac:dyDescent="0.3">
      <c r="A33" s="109"/>
      <c r="B33" s="44" t="s">
        <v>17</v>
      </c>
      <c r="C33" s="73" t="s">
        <v>20</v>
      </c>
      <c r="D33" s="74" t="s">
        <v>31</v>
      </c>
      <c r="E33" s="75">
        <v>36</v>
      </c>
      <c r="F33" s="49">
        <f>101.5*0.036</f>
        <v>3.6539999999999999</v>
      </c>
      <c r="G33" s="6">
        <f>70.5*36/30</f>
        <v>84.6</v>
      </c>
      <c r="H33" s="6">
        <f>2.28*36/30</f>
        <v>2.7359999999999998</v>
      </c>
      <c r="I33" s="6">
        <f>0.24*36/30</f>
        <v>0.28800000000000003</v>
      </c>
      <c r="J33" s="7">
        <f>14.76*36/30</f>
        <v>17.712</v>
      </c>
    </row>
    <row r="34" spans="1:13" ht="16.2" thickBot="1" x14ac:dyDescent="0.35">
      <c r="A34" s="110"/>
      <c r="B34" s="46"/>
      <c r="C34" s="77"/>
      <c r="D34" s="78"/>
      <c r="E34" s="79"/>
      <c r="F34" s="80">
        <f>SUM(F27:F33)</f>
        <v>75.016260000000003</v>
      </c>
      <c r="G34" s="47">
        <f>SUM(G27:G33)</f>
        <v>776.40500000000009</v>
      </c>
      <c r="H34" s="47">
        <f>SUM(H27:H33)</f>
        <v>27.442500000000003</v>
      </c>
      <c r="I34" s="47">
        <f>SUM(I27:I33)</f>
        <v>27.670500000000001</v>
      </c>
      <c r="J34" s="61">
        <f>SUM(J27:J33)</f>
        <v>103.56750000000001</v>
      </c>
    </row>
    <row r="35" spans="1:13" ht="15.6" x14ac:dyDescent="0.3">
      <c r="A35" s="108" t="s">
        <v>22</v>
      </c>
      <c r="B35" s="60" t="s">
        <v>11</v>
      </c>
      <c r="C35" s="81">
        <v>29</v>
      </c>
      <c r="D35" s="82" t="s">
        <v>40</v>
      </c>
      <c r="E35" s="83">
        <v>200</v>
      </c>
      <c r="F35" s="68">
        <v>10.8</v>
      </c>
      <c r="G35" s="3">
        <v>78</v>
      </c>
      <c r="H35" s="3">
        <v>0</v>
      </c>
      <c r="I35" s="3">
        <v>0</v>
      </c>
      <c r="J35" s="4">
        <v>19.399999999999999</v>
      </c>
    </row>
    <row r="36" spans="1:13" ht="15.6" x14ac:dyDescent="0.3">
      <c r="A36" s="109"/>
      <c r="B36" s="26" t="s">
        <v>27</v>
      </c>
      <c r="C36" s="84" t="s">
        <v>20</v>
      </c>
      <c r="D36" s="85" t="s">
        <v>39</v>
      </c>
      <c r="E36" s="86">
        <v>133</v>
      </c>
      <c r="F36" s="72">
        <v>22.32</v>
      </c>
      <c r="G36" s="10">
        <f>47*133/100</f>
        <v>62.51</v>
      </c>
      <c r="H36" s="10">
        <f>0.4*133/100</f>
        <v>0.53200000000000003</v>
      </c>
      <c r="I36" s="10">
        <f>0.4*133/100</f>
        <v>0.53200000000000003</v>
      </c>
      <c r="J36" s="30">
        <f>9.8*133/100</f>
        <v>13.034000000000001</v>
      </c>
    </row>
    <row r="37" spans="1:13" ht="15.6" x14ac:dyDescent="0.3">
      <c r="A37" s="109"/>
      <c r="B37" s="26" t="s">
        <v>27</v>
      </c>
      <c r="C37" s="97">
        <v>58</v>
      </c>
      <c r="D37" s="85" t="s">
        <v>37</v>
      </c>
      <c r="E37" s="98">
        <v>80</v>
      </c>
      <c r="F37" s="99">
        <v>23.14</v>
      </c>
      <c r="G37" s="100">
        <f>208/50*80</f>
        <v>332.8</v>
      </c>
      <c r="H37" s="100">
        <f>6.76/50*80</f>
        <v>10.815999999999999</v>
      </c>
      <c r="I37" s="100">
        <f>8.61/50*80</f>
        <v>13.776</v>
      </c>
      <c r="J37" s="101">
        <f>23.42/50*80</f>
        <v>37.472000000000001</v>
      </c>
    </row>
    <row r="38" spans="1:13" ht="16.2" thickBot="1" x14ac:dyDescent="0.35">
      <c r="A38" s="110"/>
      <c r="B38" s="31"/>
      <c r="C38" s="87"/>
      <c r="D38" s="88"/>
      <c r="E38" s="89"/>
      <c r="F38" s="90">
        <f>SUM(F35:F37)</f>
        <v>56.260000000000005</v>
      </c>
      <c r="G38" s="50">
        <f>SUM(G35:G37)</f>
        <v>473.31</v>
      </c>
      <c r="H38" s="50">
        <f>SUM(H35:H37)</f>
        <v>11.347999999999999</v>
      </c>
      <c r="I38" s="50">
        <f>SUM(I35:I37)</f>
        <v>14.308</v>
      </c>
      <c r="J38" s="51">
        <f>SUM(J35:J37)</f>
        <v>69.906000000000006</v>
      </c>
    </row>
    <row r="39" spans="1:13" ht="28.8" x14ac:dyDescent="0.3">
      <c r="A39" s="108" t="s">
        <v>12</v>
      </c>
      <c r="B39" s="2" t="s">
        <v>13</v>
      </c>
      <c r="C39" s="91">
        <v>27</v>
      </c>
      <c r="D39" s="115" t="s">
        <v>51</v>
      </c>
      <c r="E39" s="35">
        <v>100</v>
      </c>
      <c r="F39" s="93">
        <f>15.24*100/100</f>
        <v>15.24</v>
      </c>
      <c r="G39" s="94">
        <v>78.33</v>
      </c>
      <c r="H39" s="95">
        <v>1.2</v>
      </c>
      <c r="I39" s="95">
        <v>4.7</v>
      </c>
      <c r="J39" s="96">
        <v>7.7</v>
      </c>
    </row>
    <row r="40" spans="1:13" ht="28.8" x14ac:dyDescent="0.3">
      <c r="A40" s="109"/>
      <c r="B40" s="5" t="s">
        <v>14</v>
      </c>
      <c r="C40" s="40">
        <v>22</v>
      </c>
      <c r="D40" s="41" t="s">
        <v>52</v>
      </c>
      <c r="E40" s="64" t="s">
        <v>59</v>
      </c>
      <c r="F40" s="49">
        <f>13.13*230/245+1.92+5.88*1.5</f>
        <v>23.066122448979591</v>
      </c>
      <c r="G40" s="6">
        <v>113</v>
      </c>
      <c r="H40" s="6">
        <v>1.8</v>
      </c>
      <c r="I40" s="6">
        <v>6.09</v>
      </c>
      <c r="J40" s="7">
        <v>9.73</v>
      </c>
      <c r="M40" t="s">
        <v>29</v>
      </c>
    </row>
    <row r="41" spans="1:13" ht="15.6" x14ac:dyDescent="0.3">
      <c r="A41" s="109"/>
      <c r="B41" s="5" t="s">
        <v>15</v>
      </c>
      <c r="C41" s="40">
        <v>14</v>
      </c>
      <c r="D41" s="41" t="s">
        <v>49</v>
      </c>
      <c r="E41" s="36" t="s">
        <v>36</v>
      </c>
      <c r="F41" s="49">
        <v>49.03</v>
      </c>
      <c r="G41" s="6">
        <f>234.44*100/100</f>
        <v>234.44</v>
      </c>
      <c r="H41" s="6">
        <f>17.84*100/100</f>
        <v>17.84</v>
      </c>
      <c r="I41" s="6">
        <f>11.67*100/100</f>
        <v>11.67</v>
      </c>
      <c r="J41" s="7">
        <f>11.39*100/100</f>
        <v>11.39</v>
      </c>
    </row>
    <row r="42" spans="1:13" ht="15.6" x14ac:dyDescent="0.3">
      <c r="A42" s="109"/>
      <c r="B42" s="26" t="s">
        <v>27</v>
      </c>
      <c r="C42" s="40">
        <v>31</v>
      </c>
      <c r="D42" s="41" t="s">
        <v>44</v>
      </c>
      <c r="E42" s="36" t="s">
        <v>61</v>
      </c>
      <c r="F42" s="49">
        <f>1.56*20/20</f>
        <v>1.56</v>
      </c>
      <c r="G42" s="6">
        <f>10.33*20/20</f>
        <v>10.33</v>
      </c>
      <c r="H42" s="6">
        <f>0.29*20/20</f>
        <v>0.28999999999999998</v>
      </c>
      <c r="I42" s="6">
        <f>0.39*20/20</f>
        <v>0.39</v>
      </c>
      <c r="J42" s="7">
        <f>1.36*20/20</f>
        <v>1.36</v>
      </c>
    </row>
    <row r="43" spans="1:13" ht="15.6" x14ac:dyDescent="0.3">
      <c r="A43" s="109"/>
      <c r="B43" s="5" t="s">
        <v>33</v>
      </c>
      <c r="C43" s="40">
        <v>24</v>
      </c>
      <c r="D43" s="41" t="s">
        <v>50</v>
      </c>
      <c r="E43" s="36" t="s">
        <v>55</v>
      </c>
      <c r="F43" s="49">
        <f>16*180/180</f>
        <v>16</v>
      </c>
      <c r="G43" s="6">
        <f>297.12*180/180</f>
        <v>297.12</v>
      </c>
      <c r="H43" s="6">
        <f>10.94*180/180</f>
        <v>10.94</v>
      </c>
      <c r="I43" s="6">
        <f>6.87*180/180</f>
        <v>6.8699999999999992</v>
      </c>
      <c r="J43" s="7">
        <f>47.88*180/180</f>
        <v>47.879999999999995</v>
      </c>
    </row>
    <row r="44" spans="1:13" ht="15.6" x14ac:dyDescent="0.3">
      <c r="A44" s="109"/>
      <c r="B44" s="5" t="s">
        <v>23</v>
      </c>
      <c r="C44" s="40">
        <v>17</v>
      </c>
      <c r="D44" s="41" t="s">
        <v>48</v>
      </c>
      <c r="E44" s="36" t="s">
        <v>28</v>
      </c>
      <c r="F44" s="49">
        <v>3.19</v>
      </c>
      <c r="G44" s="6">
        <v>80</v>
      </c>
      <c r="H44" s="6">
        <v>0.44</v>
      </c>
      <c r="I44" s="6">
        <v>0</v>
      </c>
      <c r="J44" s="7">
        <v>18.899999999999999</v>
      </c>
    </row>
    <row r="45" spans="1:13" ht="15.6" x14ac:dyDescent="0.3">
      <c r="A45" s="109"/>
      <c r="B45" s="113" t="s">
        <v>16</v>
      </c>
      <c r="C45" s="40" t="s">
        <v>20</v>
      </c>
      <c r="D45" s="41" t="s">
        <v>21</v>
      </c>
      <c r="E45" s="36" t="s">
        <v>65</v>
      </c>
      <c r="F45" s="49">
        <f>57.54*0.032</f>
        <v>1.84128</v>
      </c>
      <c r="G45" s="6">
        <f>63*32/30</f>
        <v>67.2</v>
      </c>
      <c r="H45" s="6">
        <f>1.47*32/30</f>
        <v>1.5680000000000001</v>
      </c>
      <c r="I45" s="6">
        <f>0.3*32/30</f>
        <v>0.32</v>
      </c>
      <c r="J45" s="7">
        <f>13.44*32/30</f>
        <v>14.336</v>
      </c>
    </row>
    <row r="46" spans="1:13" ht="15.6" x14ac:dyDescent="0.3">
      <c r="A46" s="109"/>
      <c r="B46" s="114" t="s">
        <v>17</v>
      </c>
      <c r="C46" s="42" t="s">
        <v>43</v>
      </c>
      <c r="D46" s="43" t="s">
        <v>24</v>
      </c>
      <c r="E46" s="37" t="s">
        <v>63</v>
      </c>
      <c r="F46" s="52">
        <f>78.6*0.033</f>
        <v>2.5937999999999999</v>
      </c>
      <c r="G46" s="8">
        <f>70.5*33/30</f>
        <v>77.55</v>
      </c>
      <c r="H46" s="8">
        <f>2.28*33/30</f>
        <v>2.508</v>
      </c>
      <c r="I46" s="8">
        <f>0.24*33/30</f>
        <v>0.26400000000000001</v>
      </c>
      <c r="J46" s="9">
        <f>14.76*33/30</f>
        <v>16.236000000000001</v>
      </c>
    </row>
    <row r="47" spans="1:13" ht="16.2" thickBot="1" x14ac:dyDescent="0.35">
      <c r="A47" s="110"/>
      <c r="B47" s="31"/>
      <c r="C47" s="32"/>
      <c r="D47" s="32"/>
      <c r="E47" s="39"/>
      <c r="F47" s="53">
        <f>SUM(F39:F46)</f>
        <v>112.52120244897959</v>
      </c>
      <c r="G47" s="33">
        <f>SUM(G39:G46)</f>
        <v>957.97</v>
      </c>
      <c r="H47" s="33">
        <f>SUM(H39:H46)</f>
        <v>36.585999999999999</v>
      </c>
      <c r="I47" s="33">
        <f>SUM(I39:I46)</f>
        <v>30.303999999999998</v>
      </c>
      <c r="J47" s="34">
        <f>SUM(J39:J46)</f>
        <v>127.53200000000001</v>
      </c>
    </row>
    <row r="48" spans="1:13" ht="19.8" customHeight="1" x14ac:dyDescent="0.3">
      <c r="A48" s="19" t="s">
        <v>56</v>
      </c>
    </row>
    <row r="49" spans="1:1" ht="19.8" customHeight="1" x14ac:dyDescent="0.3">
      <c r="A49" s="19" t="s">
        <v>32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orientation="portrait" horizontalDpi="4294967295" verticalDpi="4294967295" r:id="rId1"/>
  <ignoredErrors>
    <ignoredError sqref="J11" unlockedFormula="1"/>
    <ignoredError sqref="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tabSelected="1" zoomScaleNormal="100" workbookViewId="0">
      <selection activeCell="I1" sqref="I1:I1048576"/>
    </sheetView>
  </sheetViews>
  <sheetFormatPr defaultRowHeight="14.4" x14ac:dyDescent="0.3"/>
  <cols>
    <col min="1" max="1" width="11.77734375" style="20" bestFit="1" customWidth="1"/>
    <col min="2" max="2" width="11.5546875" style="20" customWidth="1"/>
    <col min="3" max="3" width="7.109375" style="20" bestFit="1" customWidth="1"/>
    <col min="4" max="4" width="29.88671875" style="20" customWidth="1"/>
    <col min="5" max="5" width="10.5546875" style="21" customWidth="1"/>
    <col min="6" max="6" width="8.21875" style="21" bestFit="1" customWidth="1"/>
    <col min="7" max="7" width="8.44140625" style="20" customWidth="1"/>
    <col min="8" max="8" width="7.88671875" style="20" bestFit="1" customWidth="1"/>
    <col min="9" max="9" width="12.44140625" style="20" customWidth="1"/>
    <col min="10" max="10" width="9.33203125" style="20" bestFit="1" customWidth="1"/>
    <col min="11" max="16384" width="8.88671875" style="20"/>
  </cols>
  <sheetData>
    <row r="1" spans="1:10" ht="28.8" customHeight="1" x14ac:dyDescent="0.3">
      <c r="A1" s="20" t="s">
        <v>0</v>
      </c>
      <c r="B1" s="120" t="s">
        <v>66</v>
      </c>
      <c r="C1" s="121"/>
      <c r="D1" s="122"/>
      <c r="E1" s="21" t="s">
        <v>25</v>
      </c>
      <c r="F1" s="22"/>
      <c r="H1" s="102" t="s">
        <v>46</v>
      </c>
      <c r="I1" s="23">
        <v>45772</v>
      </c>
    </row>
    <row r="2" spans="1:10" ht="15" thickBot="1" x14ac:dyDescent="0.35">
      <c r="B2" s="24" t="s">
        <v>26</v>
      </c>
    </row>
    <row r="3" spans="1:10" s="25" customFormat="1" ht="29.4" thickBot="1" x14ac:dyDescent="0.35">
      <c r="A3" s="54" t="s">
        <v>1</v>
      </c>
      <c r="B3" s="55" t="s">
        <v>2</v>
      </c>
      <c r="C3" s="55" t="s">
        <v>18</v>
      </c>
      <c r="D3" s="55" t="s">
        <v>3</v>
      </c>
      <c r="E3" s="56" t="s">
        <v>19</v>
      </c>
      <c r="F3" s="56" t="s">
        <v>4</v>
      </c>
      <c r="G3" s="57" t="s">
        <v>5</v>
      </c>
      <c r="H3" s="55" t="s">
        <v>6</v>
      </c>
      <c r="I3" s="55" t="s">
        <v>7</v>
      </c>
      <c r="J3" s="58" t="s">
        <v>8</v>
      </c>
    </row>
    <row r="4" spans="1:10" s="25" customFormat="1" ht="15.6" x14ac:dyDescent="0.3">
      <c r="A4" s="108" t="s">
        <v>9</v>
      </c>
      <c r="B4" s="104" t="s">
        <v>10</v>
      </c>
      <c r="C4" s="65">
        <v>46</v>
      </c>
      <c r="D4" s="66" t="s">
        <v>34</v>
      </c>
      <c r="E4" s="67" t="s">
        <v>42</v>
      </c>
      <c r="F4" s="68">
        <f>24.35*250/200</f>
        <v>30.4375</v>
      </c>
      <c r="G4" s="62">
        <f>199*250/200</f>
        <v>248.75</v>
      </c>
      <c r="H4" s="62">
        <f>5.24*250/200</f>
        <v>6.55</v>
      </c>
      <c r="I4" s="62">
        <f>7.44*250/200</f>
        <v>9.3000000000000007</v>
      </c>
      <c r="J4" s="63">
        <f>28.11*250/200</f>
        <v>35.137500000000003</v>
      </c>
    </row>
    <row r="5" spans="1:10" ht="15" customHeight="1" x14ac:dyDescent="0.3">
      <c r="A5" s="109"/>
      <c r="B5" s="105" t="s">
        <v>11</v>
      </c>
      <c r="C5" s="69">
        <v>30</v>
      </c>
      <c r="D5" s="70" t="s">
        <v>38</v>
      </c>
      <c r="E5" s="71" t="s">
        <v>28</v>
      </c>
      <c r="F5" s="72">
        <v>4.01</v>
      </c>
      <c r="G5" s="6">
        <v>43</v>
      </c>
      <c r="H5" s="6">
        <v>0.06</v>
      </c>
      <c r="I5" s="6">
        <v>0.01</v>
      </c>
      <c r="J5" s="7">
        <v>10.220000000000001</v>
      </c>
    </row>
    <row r="6" spans="1:10" ht="15.6" x14ac:dyDescent="0.3">
      <c r="A6" s="109"/>
      <c r="B6" s="106" t="s">
        <v>27</v>
      </c>
      <c r="C6" s="73">
        <v>6</v>
      </c>
      <c r="D6" s="74" t="s">
        <v>30</v>
      </c>
      <c r="E6" s="75">
        <v>14</v>
      </c>
      <c r="F6" s="49">
        <f>13.27*14/12</f>
        <v>15.481666666666667</v>
      </c>
      <c r="G6" s="6">
        <f>42*14/10</f>
        <v>58.8</v>
      </c>
      <c r="H6" s="6">
        <f>3.16*14/10</f>
        <v>4.4240000000000004</v>
      </c>
      <c r="I6" s="6">
        <f>3.19*14/10</f>
        <v>4.4659999999999993</v>
      </c>
      <c r="J6" s="7">
        <v>0</v>
      </c>
    </row>
    <row r="7" spans="1:10" ht="15.6" x14ac:dyDescent="0.3">
      <c r="A7" s="109"/>
      <c r="B7" s="106" t="s">
        <v>27</v>
      </c>
      <c r="C7" s="73">
        <v>3</v>
      </c>
      <c r="D7" s="74" t="s">
        <v>47</v>
      </c>
      <c r="E7" s="75">
        <v>10</v>
      </c>
      <c r="F7" s="49">
        <v>16.739999999999998</v>
      </c>
      <c r="G7" s="6">
        <f>65</f>
        <v>65</v>
      </c>
      <c r="H7" s="6">
        <f>0.08</f>
        <v>0.08</v>
      </c>
      <c r="I7" s="6">
        <f>7.15</f>
        <v>7.15</v>
      </c>
      <c r="J7" s="7">
        <f>0.13</f>
        <v>0.13</v>
      </c>
    </row>
    <row r="8" spans="1:10" ht="15.6" x14ac:dyDescent="0.3">
      <c r="A8" s="109"/>
      <c r="B8" s="106" t="s">
        <v>27</v>
      </c>
      <c r="C8" s="76">
        <v>38</v>
      </c>
      <c r="D8" s="74" t="s">
        <v>35</v>
      </c>
      <c r="E8" s="75">
        <v>57</v>
      </c>
      <c r="F8" s="49">
        <f>179.51*0.057*1.33</f>
        <v>13.608653100000002</v>
      </c>
      <c r="G8" s="6">
        <v>83.79</v>
      </c>
      <c r="H8" s="6">
        <v>4.67</v>
      </c>
      <c r="I8" s="6">
        <v>1.79</v>
      </c>
      <c r="J8" s="7">
        <v>12.12</v>
      </c>
    </row>
    <row r="9" spans="1:10" ht="15.6" x14ac:dyDescent="0.3">
      <c r="A9" s="109"/>
      <c r="B9" s="113" t="s">
        <v>16</v>
      </c>
      <c r="C9" s="73" t="s">
        <v>20</v>
      </c>
      <c r="D9" s="74" t="s">
        <v>21</v>
      </c>
      <c r="E9" s="75">
        <v>30</v>
      </c>
      <c r="F9" s="49">
        <f>69.05*0.03</f>
        <v>2.0714999999999999</v>
      </c>
      <c r="G9" s="6">
        <f>42*30/20</f>
        <v>63</v>
      </c>
      <c r="H9" s="6">
        <f>0.98*30/20</f>
        <v>1.47</v>
      </c>
      <c r="I9" s="6">
        <f>0.2*30/20</f>
        <v>0.3</v>
      </c>
      <c r="J9" s="7">
        <f>8.96*30/20</f>
        <v>13.440000000000001</v>
      </c>
    </row>
    <row r="10" spans="1:10" ht="15.6" x14ac:dyDescent="0.3">
      <c r="A10" s="109"/>
      <c r="B10" s="114" t="s">
        <v>17</v>
      </c>
      <c r="C10" s="73" t="s">
        <v>20</v>
      </c>
      <c r="D10" s="74" t="s">
        <v>31</v>
      </c>
      <c r="E10" s="75">
        <v>30</v>
      </c>
      <c r="F10" s="49">
        <f>121.8*0.03</f>
        <v>3.6539999999999999</v>
      </c>
      <c r="G10" s="6">
        <f>47*30/20</f>
        <v>70.5</v>
      </c>
      <c r="H10" s="6">
        <f>1.52*30/20</f>
        <v>2.2800000000000002</v>
      </c>
      <c r="I10" s="6">
        <f>0.16*30/20</f>
        <v>0.24</v>
      </c>
      <c r="J10" s="7">
        <f>9.84*30/20</f>
        <v>14.76</v>
      </c>
    </row>
    <row r="11" spans="1:10" ht="16.2" thickBot="1" x14ac:dyDescent="0.35">
      <c r="A11" s="45"/>
      <c r="B11" s="46"/>
      <c r="C11" s="77"/>
      <c r="D11" s="78"/>
      <c r="E11" s="79"/>
      <c r="F11" s="80">
        <f>SUM(F4:F10)</f>
        <v>86.003319766666664</v>
      </c>
      <c r="G11" s="47">
        <f>SUM(G4:G10)</f>
        <v>632.84</v>
      </c>
      <c r="H11" s="47">
        <f>SUM(H4:H10)</f>
        <v>19.533999999999999</v>
      </c>
      <c r="I11" s="47">
        <f>SUM(I4:I10)</f>
        <v>23.256</v>
      </c>
      <c r="J11" s="61">
        <f>SUM(J4:J10)</f>
        <v>85.807500000000005</v>
      </c>
    </row>
    <row r="12" spans="1:10" ht="15.6" x14ac:dyDescent="0.3">
      <c r="A12" s="118"/>
      <c r="B12" s="112" t="s">
        <v>15</v>
      </c>
      <c r="C12" s="40">
        <v>14</v>
      </c>
      <c r="D12" s="41" t="s">
        <v>49</v>
      </c>
      <c r="E12" s="36" t="s">
        <v>45</v>
      </c>
      <c r="F12" s="49">
        <v>58.55</v>
      </c>
      <c r="G12" s="6">
        <f>211*90/90</f>
        <v>211</v>
      </c>
      <c r="H12" s="6">
        <f>16.06*90/90</f>
        <v>16.059999999999999</v>
      </c>
      <c r="I12" s="6">
        <f>10.5*90/90</f>
        <v>10.5</v>
      </c>
      <c r="J12" s="7">
        <f>10.25*90/90</f>
        <v>10.25</v>
      </c>
    </row>
    <row r="13" spans="1:10" ht="15" customHeight="1" x14ac:dyDescent="0.3">
      <c r="A13" s="118"/>
      <c r="B13" s="106" t="s">
        <v>27</v>
      </c>
      <c r="C13" s="40">
        <v>31</v>
      </c>
      <c r="D13" s="41" t="s">
        <v>44</v>
      </c>
      <c r="E13" s="36" t="s">
        <v>61</v>
      </c>
      <c r="F13" s="49">
        <f>2.07*20/20</f>
        <v>2.0699999999999998</v>
      </c>
      <c r="G13" s="6">
        <f>10.33*20/20</f>
        <v>10.33</v>
      </c>
      <c r="H13" s="6">
        <f>0.29*20/20</f>
        <v>0.28999999999999998</v>
      </c>
      <c r="I13" s="6">
        <f>0.39*20/20</f>
        <v>0.39</v>
      </c>
      <c r="J13" s="7">
        <f>1.36*20/20</f>
        <v>1.36</v>
      </c>
    </row>
    <row r="14" spans="1:10" ht="15.6" x14ac:dyDescent="0.3">
      <c r="A14" s="118"/>
      <c r="B14" s="112" t="s">
        <v>33</v>
      </c>
      <c r="C14" s="40">
        <v>24</v>
      </c>
      <c r="D14" s="41" t="s">
        <v>50</v>
      </c>
      <c r="E14" s="36" t="s">
        <v>58</v>
      </c>
      <c r="F14" s="49">
        <f>21.27/180*150</f>
        <v>17.725000000000001</v>
      </c>
      <c r="G14" s="6">
        <f>222.84*150/150</f>
        <v>222.84</v>
      </c>
      <c r="H14" s="6">
        <f>8.21*150/150</f>
        <v>8.2100000000000009</v>
      </c>
      <c r="I14" s="6">
        <f>5.15*150/150</f>
        <v>5.15</v>
      </c>
      <c r="J14" s="7">
        <f>35.91*150/150</f>
        <v>35.909999999999997</v>
      </c>
    </row>
    <row r="15" spans="1:10" ht="15.6" x14ac:dyDescent="0.3">
      <c r="A15" s="118"/>
      <c r="B15" s="112" t="s">
        <v>23</v>
      </c>
      <c r="C15" s="40">
        <v>17</v>
      </c>
      <c r="D15" s="41" t="s">
        <v>48</v>
      </c>
      <c r="E15" s="36" t="s">
        <v>28</v>
      </c>
      <c r="F15" s="49">
        <v>4.24</v>
      </c>
      <c r="G15" s="6">
        <v>80</v>
      </c>
      <c r="H15" s="6">
        <v>0.44</v>
      </c>
      <c r="I15" s="6">
        <v>0</v>
      </c>
      <c r="J15" s="7">
        <v>18.899999999999999</v>
      </c>
    </row>
    <row r="16" spans="1:10" ht="15.6" x14ac:dyDescent="0.3">
      <c r="A16" s="109"/>
      <c r="B16" s="106" t="s">
        <v>27</v>
      </c>
      <c r="C16" s="76">
        <v>38</v>
      </c>
      <c r="D16" s="74" t="s">
        <v>35</v>
      </c>
      <c r="E16" s="75">
        <v>19</v>
      </c>
      <c r="F16" s="49">
        <f>179.51*0.019*1.33</f>
        <v>4.5362176999999999</v>
      </c>
      <c r="G16" s="6">
        <f>83.79/57*19</f>
        <v>27.930000000000003</v>
      </c>
      <c r="H16" s="6">
        <f>4.67/57*19</f>
        <v>1.5566666666666666</v>
      </c>
      <c r="I16" s="6">
        <f>1.79/57*19</f>
        <v>0.59666666666666668</v>
      </c>
      <c r="J16" s="7">
        <f>12.12/57*19</f>
        <v>4.0399999999999991</v>
      </c>
    </row>
    <row r="17" spans="1:10" ht="15.6" x14ac:dyDescent="0.3">
      <c r="A17" s="118"/>
      <c r="B17" s="114" t="s">
        <v>17</v>
      </c>
      <c r="C17" s="42" t="s">
        <v>43</v>
      </c>
      <c r="D17" s="43" t="s">
        <v>24</v>
      </c>
      <c r="E17" s="37" t="s">
        <v>60</v>
      </c>
      <c r="F17" s="52">
        <v>2.88</v>
      </c>
      <c r="G17" s="8">
        <f>75.5*31/30</f>
        <v>78.016666666666666</v>
      </c>
      <c r="H17" s="8">
        <f>2.28*31/30</f>
        <v>2.3559999999999999</v>
      </c>
      <c r="I17" s="8">
        <f>0.24*31/30</f>
        <v>0.24799999999999997</v>
      </c>
      <c r="J17" s="9">
        <f>14.76*31/30</f>
        <v>15.252000000000001</v>
      </c>
    </row>
    <row r="18" spans="1:10" ht="16.2" thickBot="1" x14ac:dyDescent="0.35">
      <c r="A18" s="119"/>
      <c r="B18" s="116"/>
      <c r="C18" s="27"/>
      <c r="D18" s="27"/>
      <c r="E18" s="48"/>
      <c r="F18" s="59">
        <f>SUM(F12:F17)</f>
        <v>90.001217699999984</v>
      </c>
      <c r="G18" s="28">
        <f>SUM(G12:G17)</f>
        <v>630.11666666666667</v>
      </c>
      <c r="H18" s="28">
        <f>SUM(H12:H17)</f>
        <v>28.912666666666667</v>
      </c>
      <c r="I18" s="28">
        <f>SUM(I12:I17)</f>
        <v>16.884666666666668</v>
      </c>
      <c r="J18" s="29">
        <f>SUM(J12:J17)</f>
        <v>85.711999999999975</v>
      </c>
    </row>
    <row r="19" spans="1:10" ht="15.6" x14ac:dyDescent="0.3">
      <c r="A19" s="117"/>
      <c r="B19" s="104" t="s">
        <v>13</v>
      </c>
      <c r="C19" s="91">
        <v>27</v>
      </c>
      <c r="D19" s="92" t="s">
        <v>41</v>
      </c>
      <c r="E19" s="35">
        <v>50</v>
      </c>
      <c r="F19" s="93">
        <f>20.27*60/100</f>
        <v>12.162000000000001</v>
      </c>
      <c r="G19" s="94">
        <f>78.33/100*50</f>
        <v>39.164999999999999</v>
      </c>
      <c r="H19" s="95">
        <f>1.2/100*50</f>
        <v>0.6</v>
      </c>
      <c r="I19" s="95">
        <f>4.7/100*50</f>
        <v>2.35</v>
      </c>
      <c r="J19" s="96">
        <f>7.7/100*50</f>
        <v>3.85</v>
      </c>
    </row>
    <row r="20" spans="1:10" ht="15.6" x14ac:dyDescent="0.3">
      <c r="A20" s="118"/>
      <c r="B20" s="112" t="s">
        <v>15</v>
      </c>
      <c r="C20" s="40">
        <v>14</v>
      </c>
      <c r="D20" s="41" t="s">
        <v>49</v>
      </c>
      <c r="E20" s="36" t="s">
        <v>36</v>
      </c>
      <c r="F20" s="49">
        <v>65.209999999999994</v>
      </c>
      <c r="G20" s="6">
        <f>234.44*100/100</f>
        <v>234.44</v>
      </c>
      <c r="H20" s="6">
        <f>17.84*100/100</f>
        <v>17.84</v>
      </c>
      <c r="I20" s="6">
        <f>11.67*100/100</f>
        <v>11.67</v>
      </c>
      <c r="J20" s="7">
        <f>11.39*100/100</f>
        <v>11.39</v>
      </c>
    </row>
    <row r="21" spans="1:10" ht="15" customHeight="1" x14ac:dyDescent="0.3">
      <c r="A21" s="118"/>
      <c r="B21" s="106" t="s">
        <v>27</v>
      </c>
      <c r="C21" s="40">
        <v>31</v>
      </c>
      <c r="D21" s="41" t="s">
        <v>44</v>
      </c>
      <c r="E21" s="36" t="s">
        <v>61</v>
      </c>
      <c r="F21" s="49">
        <f>2.07*20/20</f>
        <v>2.0699999999999998</v>
      </c>
      <c r="G21" s="6">
        <f>10.33*20/20</f>
        <v>10.33</v>
      </c>
      <c r="H21" s="6">
        <f>0.29*20/20</f>
        <v>0.28999999999999998</v>
      </c>
      <c r="I21" s="6">
        <f>0.39*20/20</f>
        <v>0.39</v>
      </c>
      <c r="J21" s="7">
        <f>1.36*20/20</f>
        <v>1.36</v>
      </c>
    </row>
    <row r="22" spans="1:10" ht="15.6" x14ac:dyDescent="0.3">
      <c r="A22" s="118"/>
      <c r="B22" s="112" t="s">
        <v>33</v>
      </c>
      <c r="C22" s="40">
        <v>24</v>
      </c>
      <c r="D22" s="41" t="s">
        <v>50</v>
      </c>
      <c r="E22" s="36" t="s">
        <v>55</v>
      </c>
      <c r="F22" s="49">
        <f>21.27/180*180</f>
        <v>21.27</v>
      </c>
      <c r="G22" s="6">
        <f>222.84*180/150</f>
        <v>267.40799999999996</v>
      </c>
      <c r="H22" s="6">
        <f>8.21*180/150</f>
        <v>9.8520000000000021</v>
      </c>
      <c r="I22" s="6">
        <f>5.15*180/150</f>
        <v>6.1800000000000006</v>
      </c>
      <c r="J22" s="7">
        <f>35.91*180/150</f>
        <v>43.091999999999992</v>
      </c>
    </row>
    <row r="23" spans="1:10" ht="15.6" x14ac:dyDescent="0.3">
      <c r="A23" s="118"/>
      <c r="B23" s="112" t="s">
        <v>23</v>
      </c>
      <c r="C23" s="40">
        <v>17</v>
      </c>
      <c r="D23" s="41" t="s">
        <v>48</v>
      </c>
      <c r="E23" s="36" t="s">
        <v>28</v>
      </c>
      <c r="F23" s="49">
        <v>4.24</v>
      </c>
      <c r="G23" s="6">
        <v>80</v>
      </c>
      <c r="H23" s="6">
        <v>0.44</v>
      </c>
      <c r="I23" s="6">
        <v>0</v>
      </c>
      <c r="J23" s="7">
        <v>18.899999999999999</v>
      </c>
    </row>
    <row r="24" spans="1:10" ht="15.6" x14ac:dyDescent="0.3">
      <c r="A24" s="118"/>
      <c r="B24" s="113" t="s">
        <v>16</v>
      </c>
      <c r="C24" s="40" t="s">
        <v>20</v>
      </c>
      <c r="D24" s="41" t="s">
        <v>21</v>
      </c>
      <c r="E24" s="36" t="s">
        <v>60</v>
      </c>
      <c r="F24" s="49">
        <v>2.12</v>
      </c>
      <c r="G24" s="6">
        <f>63*31/30</f>
        <v>65.099999999999994</v>
      </c>
      <c r="H24" s="6">
        <f>1.47*31/30</f>
        <v>1.5189999999999999</v>
      </c>
      <c r="I24" s="6">
        <f>0.3*31/30</f>
        <v>0.30999999999999994</v>
      </c>
      <c r="J24" s="7">
        <f>13.44*31/30</f>
        <v>13.888</v>
      </c>
    </row>
    <row r="25" spans="1:10" ht="15.6" x14ac:dyDescent="0.3">
      <c r="A25" s="118"/>
      <c r="B25" s="114" t="s">
        <v>17</v>
      </c>
      <c r="C25" s="42" t="s">
        <v>43</v>
      </c>
      <c r="D25" s="43" t="s">
        <v>24</v>
      </c>
      <c r="E25" s="37" t="s">
        <v>60</v>
      </c>
      <c r="F25" s="52">
        <f>94.32*0.031</f>
        <v>2.9239199999999999</v>
      </c>
      <c r="G25" s="8">
        <f>75.5*31/30</f>
        <v>78.016666666666666</v>
      </c>
      <c r="H25" s="8">
        <f>2.28*31/30</f>
        <v>2.3559999999999999</v>
      </c>
      <c r="I25" s="8">
        <f>0.24*31/30</f>
        <v>0.24799999999999997</v>
      </c>
      <c r="J25" s="9">
        <f>14.76*31/30</f>
        <v>15.252000000000001</v>
      </c>
    </row>
    <row r="26" spans="1:10" ht="16.2" thickBot="1" x14ac:dyDescent="0.35">
      <c r="A26" s="119"/>
      <c r="B26" s="116"/>
      <c r="C26" s="27"/>
      <c r="D26" s="27"/>
      <c r="E26" s="48"/>
      <c r="F26" s="59">
        <f>SUM(F19:F25)</f>
        <v>109.99591999999998</v>
      </c>
      <c r="G26" s="28">
        <f>SUM(G19:G25)</f>
        <v>774.45966666666664</v>
      </c>
      <c r="H26" s="28">
        <f>SUM(H19:H25)</f>
        <v>32.896999999999998</v>
      </c>
      <c r="I26" s="28">
        <f>SUM(I19:I25)</f>
        <v>21.148</v>
      </c>
      <c r="J26" s="29">
        <f>SUM(J19:J25)</f>
        <v>107.73199999999999</v>
      </c>
    </row>
    <row r="27" spans="1:10" ht="15.6" x14ac:dyDescent="0.3">
      <c r="A27" s="117"/>
      <c r="B27" s="104" t="s">
        <v>13</v>
      </c>
      <c r="C27" s="91">
        <v>27</v>
      </c>
      <c r="D27" s="92" t="s">
        <v>41</v>
      </c>
      <c r="E27" s="35">
        <v>50</v>
      </c>
      <c r="F27" s="93">
        <f>20.27*60/100</f>
        <v>12.162000000000001</v>
      </c>
      <c r="G27" s="94">
        <f>78.33/100*50</f>
        <v>39.164999999999999</v>
      </c>
      <c r="H27" s="95">
        <f>1.2/100*50</f>
        <v>0.6</v>
      </c>
      <c r="I27" s="95">
        <f>4.7/100*50</f>
        <v>2.35</v>
      </c>
      <c r="J27" s="96">
        <f>7.7/100*50</f>
        <v>3.85</v>
      </c>
    </row>
    <row r="28" spans="1:10" ht="28.8" x14ac:dyDescent="0.3">
      <c r="A28" s="118"/>
      <c r="B28" s="112" t="s">
        <v>14</v>
      </c>
      <c r="C28" s="40">
        <v>22</v>
      </c>
      <c r="D28" s="41" t="s">
        <v>52</v>
      </c>
      <c r="E28" s="64" t="s">
        <v>57</v>
      </c>
      <c r="F28" s="49">
        <f>17.46*235/245+2.55+7.82*1</f>
        <v>27.117346938775512</v>
      </c>
      <c r="G28" s="6">
        <v>113</v>
      </c>
      <c r="H28" s="6">
        <v>1.8</v>
      </c>
      <c r="I28" s="6">
        <v>6.09</v>
      </c>
      <c r="J28" s="7">
        <v>9.73</v>
      </c>
    </row>
    <row r="29" spans="1:10" ht="15.6" x14ac:dyDescent="0.3">
      <c r="A29" s="118"/>
      <c r="B29" s="112" t="s">
        <v>15</v>
      </c>
      <c r="C29" s="40">
        <v>14</v>
      </c>
      <c r="D29" s="41" t="s">
        <v>49</v>
      </c>
      <c r="E29" s="36" t="s">
        <v>36</v>
      </c>
      <c r="F29" s="49">
        <v>65.209999999999994</v>
      </c>
      <c r="G29" s="6">
        <f>234.44*100/100</f>
        <v>234.44</v>
      </c>
      <c r="H29" s="6">
        <f>17.84*100/100</f>
        <v>17.84</v>
      </c>
      <c r="I29" s="6">
        <f>11.67*100/100</f>
        <v>11.67</v>
      </c>
      <c r="J29" s="7">
        <f>11.39*100/100</f>
        <v>11.39</v>
      </c>
    </row>
    <row r="30" spans="1:10" ht="15.6" x14ac:dyDescent="0.3">
      <c r="A30" s="118"/>
      <c r="B30" s="106" t="s">
        <v>27</v>
      </c>
      <c r="C30" s="40">
        <v>31</v>
      </c>
      <c r="D30" s="41" t="s">
        <v>44</v>
      </c>
      <c r="E30" s="36" t="s">
        <v>61</v>
      </c>
      <c r="F30" s="49">
        <f>2.07*20/20</f>
        <v>2.0699999999999998</v>
      </c>
      <c r="G30" s="6">
        <f>10.33*20/20</f>
        <v>10.33</v>
      </c>
      <c r="H30" s="6">
        <f>0.29*20/20</f>
        <v>0.28999999999999998</v>
      </c>
      <c r="I30" s="6">
        <f>0.39*20/20</f>
        <v>0.39</v>
      </c>
      <c r="J30" s="7">
        <f>1.36*20/20</f>
        <v>1.36</v>
      </c>
    </row>
    <row r="31" spans="1:10" ht="15.6" x14ac:dyDescent="0.3">
      <c r="A31" s="118"/>
      <c r="B31" s="112" t="s">
        <v>33</v>
      </c>
      <c r="C31" s="40">
        <v>24</v>
      </c>
      <c r="D31" s="41" t="s">
        <v>50</v>
      </c>
      <c r="E31" s="36" t="s">
        <v>58</v>
      </c>
      <c r="F31" s="49">
        <f>21.27/180*150</f>
        <v>17.725000000000001</v>
      </c>
      <c r="G31" s="6">
        <f>222.84*150/150</f>
        <v>222.84</v>
      </c>
      <c r="H31" s="6">
        <f>8.21*150/150</f>
        <v>8.2100000000000009</v>
      </c>
      <c r="I31" s="6">
        <f>5.15*150/150</f>
        <v>5.15</v>
      </c>
      <c r="J31" s="7">
        <f>35.91*150/150</f>
        <v>35.909999999999997</v>
      </c>
    </row>
    <row r="32" spans="1:10" ht="15.6" x14ac:dyDescent="0.3">
      <c r="A32" s="118"/>
      <c r="B32" s="112" t="s">
        <v>23</v>
      </c>
      <c r="C32" s="40">
        <v>17</v>
      </c>
      <c r="D32" s="41" t="s">
        <v>48</v>
      </c>
      <c r="E32" s="36" t="s">
        <v>28</v>
      </c>
      <c r="F32" s="49">
        <v>4.24</v>
      </c>
      <c r="G32" s="6">
        <v>80</v>
      </c>
      <c r="H32" s="6">
        <v>0.44</v>
      </c>
      <c r="I32" s="6">
        <v>0</v>
      </c>
      <c r="J32" s="7">
        <v>18.899999999999999</v>
      </c>
    </row>
    <row r="33" spans="1:10" ht="15.6" x14ac:dyDescent="0.3">
      <c r="A33" s="118"/>
      <c r="B33" s="113" t="s">
        <v>16</v>
      </c>
      <c r="C33" s="40" t="s">
        <v>20</v>
      </c>
      <c r="D33" s="41" t="s">
        <v>21</v>
      </c>
      <c r="E33" s="36" t="s">
        <v>64</v>
      </c>
      <c r="F33" s="49">
        <v>2.7</v>
      </c>
      <c r="G33" s="6">
        <f>63*40/30</f>
        <v>84</v>
      </c>
      <c r="H33" s="6">
        <f>1.47*40/30</f>
        <v>1.96</v>
      </c>
      <c r="I33" s="6">
        <f>0.3*40/30</f>
        <v>0.4</v>
      </c>
      <c r="J33" s="7">
        <f>13.44*40/30</f>
        <v>17.920000000000002</v>
      </c>
    </row>
    <row r="34" spans="1:10" ht="15.6" x14ac:dyDescent="0.3">
      <c r="A34" s="118"/>
      <c r="B34" s="114" t="s">
        <v>17</v>
      </c>
      <c r="C34" s="42" t="s">
        <v>43</v>
      </c>
      <c r="D34" s="43" t="s">
        <v>24</v>
      </c>
      <c r="E34" s="37" t="s">
        <v>64</v>
      </c>
      <c r="F34" s="52">
        <f>94.32*0.04</f>
        <v>3.7727999999999997</v>
      </c>
      <c r="G34" s="8">
        <f>75.5*40/30</f>
        <v>100.66666666666667</v>
      </c>
      <c r="H34" s="8">
        <f>2.28*40/30</f>
        <v>3.0399999999999996</v>
      </c>
      <c r="I34" s="8">
        <f>0.24*40/30</f>
        <v>0.32</v>
      </c>
      <c r="J34" s="9">
        <f>14.76*40/30</f>
        <v>19.68</v>
      </c>
    </row>
    <row r="35" spans="1:10" ht="16.2" thickBot="1" x14ac:dyDescent="0.35">
      <c r="A35" s="119"/>
      <c r="B35" s="116"/>
      <c r="C35" s="27"/>
      <c r="D35" s="27"/>
      <c r="E35" s="48"/>
      <c r="F35" s="59">
        <f>SUM(F27:F34)</f>
        <v>134.99714693877547</v>
      </c>
      <c r="G35" s="28">
        <f>SUM(G28:G34)</f>
        <v>845.27666666666664</v>
      </c>
      <c r="H35" s="28">
        <f>SUM(H28:H34)</f>
        <v>33.580000000000005</v>
      </c>
      <c r="I35" s="28">
        <f>SUM(I28:I34)</f>
        <v>24.019999999999996</v>
      </c>
      <c r="J35" s="29">
        <f>SUM(J28:J34)</f>
        <v>114.88999999999999</v>
      </c>
    </row>
    <row r="36" spans="1:10" customFormat="1" ht="24" customHeight="1" x14ac:dyDescent="0.3">
      <c r="A36" s="19" t="s">
        <v>56</v>
      </c>
      <c r="E36" s="13"/>
      <c r="F36" s="13"/>
    </row>
    <row r="37" spans="1:10" customFormat="1" ht="24" customHeight="1" x14ac:dyDescent="0.3">
      <c r="A37" s="19" t="s">
        <v>32</v>
      </c>
      <c r="E37" s="13"/>
      <c r="F37" s="13"/>
    </row>
    <row r="38" spans="1:10" customFormat="1" x14ac:dyDescent="0.3">
      <c r="E38" s="13"/>
      <c r="F38" s="13"/>
    </row>
    <row r="39" spans="1:10" customFormat="1" x14ac:dyDescent="0.3">
      <c r="E39" s="13"/>
      <c r="F39" s="13"/>
    </row>
    <row r="40" spans="1:10" customFormat="1" x14ac:dyDescent="0.3">
      <c r="E40" s="13"/>
      <c r="F40" s="13"/>
    </row>
    <row r="45" spans="1:10" x14ac:dyDescent="0.3">
      <c r="A45" s="19"/>
      <c r="B45"/>
      <c r="C45"/>
      <c r="D45"/>
    </row>
    <row r="46" spans="1:10" x14ac:dyDescent="0.3">
      <c r="A46"/>
      <c r="B46"/>
      <c r="C46"/>
      <c r="D46"/>
    </row>
    <row r="47" spans="1:10" x14ac:dyDescent="0.3">
      <c r="A47" s="19"/>
      <c r="B47"/>
      <c r="C47"/>
      <c r="D47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fitToHeight="0" orientation="portrait" r:id="rId1"/>
  <ignoredErrors>
    <ignoredError sqref="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бесплатно</vt:lpstr>
      <vt:lpstr>платно</vt:lpstr>
      <vt:lpstr>бесплатно!Область_печати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2024-12-04T05:40:40Z</cp:lastPrinted>
  <dcterms:created xsi:type="dcterms:W3CDTF">2015-06-05T18:19:34Z</dcterms:created>
  <dcterms:modified xsi:type="dcterms:W3CDTF">2025-04-23T12:21:05Z</dcterms:modified>
</cp:coreProperties>
</file>