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8_{956E792E-2920-412E-B01B-8819A6999101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бесплатно" sheetId="1" r:id="rId1"/>
    <sheet name="платн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I27" i="2"/>
  <c r="H27" i="2"/>
  <c r="G27" i="2"/>
  <c r="F27" i="2"/>
  <c r="F23" i="2"/>
  <c r="F25" i="2"/>
  <c r="J21" i="2"/>
  <c r="I21" i="2"/>
  <c r="H21" i="2"/>
  <c r="G21" i="2"/>
  <c r="F18" i="2"/>
  <c r="F13" i="2"/>
  <c r="J7" i="2"/>
  <c r="I7" i="2"/>
  <c r="H7" i="2"/>
  <c r="G7" i="2"/>
  <c r="F9" i="2"/>
  <c r="F7" i="2"/>
  <c r="F39" i="1"/>
  <c r="F38" i="1"/>
  <c r="J34" i="1"/>
  <c r="I34" i="1"/>
  <c r="H34" i="1"/>
  <c r="G34" i="1"/>
  <c r="J31" i="1"/>
  <c r="J30" i="1"/>
  <c r="I31" i="1"/>
  <c r="I30" i="1"/>
  <c r="H31" i="1"/>
  <c r="G31" i="1"/>
  <c r="H30" i="1"/>
  <c r="G30" i="1"/>
  <c r="F31" i="1"/>
  <c r="F28" i="1"/>
  <c r="F18" i="1"/>
  <c r="F17" i="1"/>
  <c r="J13" i="1"/>
  <c r="I13" i="1"/>
  <c r="H13" i="1"/>
  <c r="G13" i="1"/>
  <c r="F14" i="1"/>
  <c r="J9" i="1"/>
  <c r="I9" i="1"/>
  <c r="H9" i="1"/>
  <c r="G9" i="1"/>
  <c r="I7" i="1"/>
  <c r="H7" i="1"/>
  <c r="G7" i="1"/>
  <c r="F10" i="1"/>
  <c r="F7" i="1"/>
  <c r="J28" i="2" l="1"/>
  <c r="I28" i="2"/>
  <c r="H28" i="2"/>
  <c r="G28" i="2"/>
  <c r="J24" i="2"/>
  <c r="I24" i="2"/>
  <c r="H24" i="2"/>
  <c r="G24" i="2"/>
  <c r="F24" i="2"/>
  <c r="J20" i="2"/>
  <c r="I20" i="2"/>
  <c r="H20" i="2"/>
  <c r="G20" i="2"/>
  <c r="F20" i="2"/>
  <c r="J15" i="2"/>
  <c r="I15" i="2"/>
  <c r="H15" i="2"/>
  <c r="G15" i="2"/>
  <c r="J12" i="2"/>
  <c r="I12" i="2"/>
  <c r="H12" i="2"/>
  <c r="G12" i="2"/>
  <c r="F12" i="2"/>
  <c r="F16" i="2" s="1"/>
  <c r="J10" i="2"/>
  <c r="I10" i="2"/>
  <c r="H10" i="2"/>
  <c r="G10" i="2"/>
  <c r="J9" i="2"/>
  <c r="I9" i="2"/>
  <c r="H9" i="2"/>
  <c r="G9" i="2"/>
  <c r="J41" i="1"/>
  <c r="I41" i="1"/>
  <c r="H41" i="1"/>
  <c r="G41" i="1"/>
  <c r="J42" i="1"/>
  <c r="I42" i="1"/>
  <c r="H42" i="1"/>
  <c r="G42" i="1"/>
  <c r="F42" i="1"/>
  <c r="F41" i="1"/>
  <c r="J10" i="1"/>
  <c r="I10" i="1"/>
  <c r="H10" i="1"/>
  <c r="G10" i="1"/>
  <c r="F17" i="2" l="1"/>
  <c r="F8" i="2"/>
  <c r="F4" i="2"/>
  <c r="F29" i="1"/>
  <c r="F25" i="1"/>
  <c r="F8" i="1"/>
  <c r="F4" i="1"/>
  <c r="F21" i="1" l="1"/>
  <c r="F20" i="1"/>
  <c r="J35" i="1" l="1"/>
  <c r="J36" i="1" s="1"/>
  <c r="I35" i="1"/>
  <c r="H35" i="1"/>
  <c r="G35" i="1"/>
  <c r="J21" i="1"/>
  <c r="I21" i="1"/>
  <c r="H21" i="1"/>
  <c r="G21" i="1"/>
  <c r="J20" i="1"/>
  <c r="I20" i="1"/>
  <c r="H20" i="1"/>
  <c r="G20" i="1"/>
  <c r="J14" i="1"/>
  <c r="I14" i="1"/>
  <c r="H14" i="1"/>
  <c r="G14" i="1"/>
  <c r="I28" i="1" l="1"/>
  <c r="H28" i="1"/>
  <c r="G28" i="1"/>
  <c r="J7" i="1" l="1"/>
  <c r="J16" i="2" l="1"/>
  <c r="I16" i="2"/>
  <c r="H16" i="2"/>
  <c r="G16" i="2"/>
  <c r="J27" i="1" l="1"/>
  <c r="I27" i="1"/>
  <c r="H27" i="1"/>
  <c r="G27" i="1"/>
  <c r="F36" i="1" l="1"/>
  <c r="J17" i="2" l="1"/>
  <c r="I17" i="2"/>
  <c r="I22" i="2" s="1"/>
  <c r="H17" i="2"/>
  <c r="G17" i="2"/>
  <c r="J6" i="2"/>
  <c r="I6" i="2"/>
  <c r="H6" i="2"/>
  <c r="G6" i="2"/>
  <c r="F11" i="2"/>
  <c r="F15" i="1"/>
  <c r="J6" i="1"/>
  <c r="I6" i="1"/>
  <c r="H6" i="1"/>
  <c r="G6" i="1"/>
  <c r="F22" i="2" l="1"/>
  <c r="J37" i="1"/>
  <c r="I37" i="1"/>
  <c r="H37" i="1"/>
  <c r="G37" i="1"/>
  <c r="J29" i="1" l="1"/>
  <c r="I29" i="1"/>
  <c r="H29" i="1"/>
  <c r="G29" i="1"/>
  <c r="F32" i="1" l="1"/>
  <c r="F11" i="1"/>
  <c r="F29" i="2"/>
  <c r="I29" i="2"/>
  <c r="H29" i="2"/>
  <c r="G29" i="2"/>
  <c r="J29" i="2"/>
  <c r="J4" i="2"/>
  <c r="I4" i="2"/>
  <c r="H4" i="2"/>
  <c r="G4" i="2"/>
  <c r="J25" i="1"/>
  <c r="I25" i="1"/>
  <c r="I32" i="1" s="1"/>
  <c r="H25" i="1"/>
  <c r="G25" i="1"/>
  <c r="J4" i="1"/>
  <c r="I4" i="1"/>
  <c r="H4" i="1"/>
  <c r="G4" i="1"/>
  <c r="G11" i="1" s="1"/>
  <c r="I36" i="1" l="1"/>
  <c r="H36" i="1"/>
  <c r="G36" i="1"/>
  <c r="J32" i="1"/>
  <c r="H32" i="1"/>
  <c r="G32" i="1"/>
  <c r="J15" i="1"/>
  <c r="I15" i="1"/>
  <c r="H15" i="1"/>
  <c r="G15" i="1"/>
  <c r="G22" i="1" l="1"/>
  <c r="G22" i="2" l="1"/>
  <c r="I43" i="1"/>
  <c r="G43" i="1"/>
  <c r="J22" i="1"/>
  <c r="H22" i="1"/>
  <c r="J11" i="1"/>
  <c r="I11" i="1"/>
  <c r="H11" i="1"/>
  <c r="H22" i="2" l="1"/>
  <c r="G11" i="2"/>
  <c r="J22" i="2"/>
  <c r="H11" i="2"/>
  <c r="I11" i="2"/>
  <c r="J11" i="2"/>
  <c r="J43" i="1"/>
  <c r="I22" i="1"/>
  <c r="H43" i="1"/>
</calcChain>
</file>

<file path=xl/sharedStrings.xml><?xml version="1.0" encoding="utf-8"?>
<sst xmlns="http://schemas.openxmlformats.org/spreadsheetml/2006/main" count="205" uniqueCount="64">
  <si>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</si>
  <si>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</si>
  <si>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</si>
  <si>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</si>
  <si>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</si>
  <si>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</si>
  <si>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</si>
  <si>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</si>
  <si>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</si>
  <si>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</si>
  <si>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</si>
  <si>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</si>
  <si>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</si>
  <si>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</si>
  <si>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</si>
  <si>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</si>
  <si>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</si>
  <si>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</si>
  <si>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</si>
  <si>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</si>
  <si>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</si>
  <si>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</si>
  <si>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добавка</t>
  </si>
  <si>
    <t>Полдник</t>
  </si>
  <si>
    <t>напиток</t>
  </si>
  <si>
    <t>Хлеб пшеничный</t>
  </si>
  <si>
    <t>корп</t>
  </si>
  <si>
    <t>Зав.производством _________________________________</t>
  </si>
  <si>
    <t>За наличный расчет</t>
  </si>
  <si>
    <t>Лепешка с сыром</t>
  </si>
  <si>
    <t>200</t>
  </si>
  <si>
    <t>Сок</t>
  </si>
  <si>
    <t>60</t>
  </si>
  <si>
    <t>Каша пшенная молочная жидкая</t>
  </si>
  <si>
    <t>Чай с лимоном</t>
  </si>
  <si>
    <t>Творожное печенье</t>
  </si>
  <si>
    <t>Напиток "Витошка" с витаминами</t>
  </si>
  <si>
    <t>Суп картофельный с мясными фрикадельками из говядины</t>
  </si>
  <si>
    <t>250</t>
  </si>
  <si>
    <t>240/10</t>
  </si>
  <si>
    <t>Яблоко</t>
  </si>
  <si>
    <t>6-11 лет</t>
  </si>
  <si>
    <t>12-18 лет</t>
  </si>
  <si>
    <t>День 2</t>
  </si>
  <si>
    <t>День  2</t>
  </si>
  <si>
    <t>100</t>
  </si>
  <si>
    <t>гарнир</t>
  </si>
  <si>
    <t>Курица в соусе с томатом</t>
  </si>
  <si>
    <t>150</t>
  </si>
  <si>
    <t>50/40</t>
  </si>
  <si>
    <t>Масло сливочное (порциями)</t>
  </si>
  <si>
    <t>Сыр (порциями)</t>
  </si>
  <si>
    <t>Овощи натуральные свежие (или соленые) - огурец соленый</t>
  </si>
  <si>
    <t>Капуста тушеная с рисом с  мясом птицы</t>
  </si>
  <si>
    <t>Каша гречневая рассыпчатая</t>
  </si>
  <si>
    <t>Батон</t>
  </si>
  <si>
    <t>Бухгалтер-калькулятор _______________________________</t>
  </si>
  <si>
    <t>Чай с сахаром</t>
  </si>
  <si>
    <t>180/20</t>
  </si>
  <si>
    <t>20</t>
  </si>
  <si>
    <t>210/30</t>
  </si>
  <si>
    <t>30</t>
  </si>
  <si>
    <t>180</t>
  </si>
  <si>
    <t>МБОУ Элитовская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</si>
</sst>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3" xfId="0" applyBorder="1"/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1" xfId="0" applyFont="1" applyBorder="1"/>
    <xf numFmtId="0" fontId="9" fillId="0" borderId="1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6" xfId="0" applyFont="1" applyBorder="1"/>
    <xf numFmtId="0" fontId="11" fillId="0" borderId="16" xfId="0" applyFont="1" applyBorder="1" applyAlignment="1">
      <alignment horizontal="center"/>
    </xf>
    <xf numFmtId="2" fontId="9" fillId="0" borderId="16" xfId="0" applyNumberFormat="1" applyFont="1" applyBorder="1"/>
    <xf numFmtId="2" fontId="9" fillId="0" borderId="17" xfId="0" applyNumberFormat="1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2" fontId="0" fillId="0" borderId="17" xfId="0" applyNumberFormat="1" applyBorder="1"/>
    <xf numFmtId="0" fontId="12" fillId="0" borderId="10" xfId="0" applyFont="1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12" fillId="0" borderId="5" xfId="0" applyNumberFormat="1" applyFont="1" applyBorder="1" applyAlignment="1" applyProtection="1">
      <alignment horizontal="center"/>
      <protection locked="0"/>
    </xf>
    <xf numFmtId="1" fontId="12" fillId="0" borderId="13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12" fillId="0" borderId="13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18" xfId="0" applyBorder="1"/>
    <xf numFmtId="1" fontId="12" fillId="0" borderId="16" xfId="0" applyNumberFormat="1" applyFont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 applyProtection="1">
      <protection locked="0"/>
    </xf>
    <xf numFmtId="1" fontId="12" fillId="0" borderId="20" xfId="0" applyNumberFormat="1" applyFont="1" applyBorder="1" applyAlignment="1" applyProtection="1">
      <alignment horizontal="center"/>
      <protection locked="0"/>
    </xf>
    <xf numFmtId="2" fontId="0" fillId="0" borderId="20" xfId="0" applyNumberFormat="1" applyBorder="1" applyProtection="1">
      <protection locked="0"/>
    </xf>
    <xf numFmtId="0" fontId="13" fillId="0" borderId="16" xfId="0" applyFont="1" applyBorder="1" applyAlignment="1">
      <alignment horizontal="center"/>
    </xf>
    <xf numFmtId="2" fontId="0" fillId="0" borderId="21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wrapText="1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5" fillId="0" borderId="16" xfId="0" applyFont="1" applyBorder="1"/>
    <xf numFmtId="0" fontId="5" fillId="0" borderId="1" xfId="0" applyFont="1" applyBorder="1" applyAlignment="1" applyProtection="1">
      <alignment wrapText="1"/>
      <protection locked="0"/>
    </xf>
    <xf numFmtId="2" fontId="1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2" fontId="12" fillId="0" borderId="5" xfId="0" applyNumberFormat="1" applyFont="1" applyBorder="1" applyAlignment="1" applyProtection="1">
      <alignment horizontal="center"/>
      <protection locked="0"/>
    </xf>
    <xf numFmtId="2" fontId="12" fillId="0" borderId="20" xfId="0" applyNumberFormat="1" applyFont="1" applyBorder="1" applyAlignment="1" applyProtection="1">
      <alignment horizontal="center"/>
      <protection locked="0"/>
    </xf>
    <xf numFmtId="2" fontId="12" fillId="0" borderId="13" xfId="0" applyNumberFormat="1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2" fontId="13" fillId="0" borderId="16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0" fontId="9" fillId="0" borderId="0" xfId="0" applyFont="1" applyBorder="1"/>
    <xf numFmtId="0" fontId="9" fillId="0" borderId="18" xfId="0" applyFont="1" applyBorder="1"/>
    <xf numFmtId="0" fontId="9" fillId="0" borderId="2" xfId="0" applyFont="1" applyBorder="1" applyAlignment="1" applyProtection="1">
      <alignment wrapText="1"/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5"/>
  <sheetViews>
    <sheetView zoomScale="85" zoomScaleNormal="85" workbookViewId="0">
      <selection activeCell="I1" sqref="I1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31.109375" customWidth="1"/>
    <col min="5" max="5" width="9.77734375" style="18" customWidth="1"/>
    <col min="6" max="6" width="9.33203125" style="18" bestFit="1" customWidth="1"/>
    <col min="7" max="7" width="7.6640625" customWidth="1"/>
    <col min="8" max="8" width="7.21875" bestFit="1" customWidth="1"/>
    <col min="9" max="9" width="14.44140625" customWidth="1"/>
    <col min="10" max="10" width="8.5546875" customWidth="1"/>
  </cols>
  <sheetData>
    <row r="1" spans="1:10" ht="28.8" customHeight="1" x14ac:dyDescent="0.3">
      <c r="A1" t="s">
        <v>0</v>
      </c>
      <c r="B1" s="104" t="s">
        <v>63</v>
      </c>
      <c r="C1" s="105"/>
      <c r="D1" s="106"/>
      <c r="E1" s="18" t="s">
        <v>26</v>
      </c>
      <c r="F1" s="17"/>
      <c r="H1" t="s">
        <v>44</v>
      </c>
      <c r="I1" s="16">
        <v>45775</v>
      </c>
    </row>
    <row r="2" spans="1:10" ht="15" thickBot="1" x14ac:dyDescent="0.35">
      <c r="B2" s="1" t="s">
        <v>41</v>
      </c>
    </row>
    <row r="3" spans="1:10" s="24" customFormat="1" ht="29.4" thickBot="1" x14ac:dyDescent="0.35">
      <c r="A3" s="20" t="s">
        <v>1</v>
      </c>
      <c r="B3" s="21" t="s">
        <v>2</v>
      </c>
      <c r="C3" s="21" t="s">
        <v>18</v>
      </c>
      <c r="D3" s="21" t="s">
        <v>3</v>
      </c>
      <c r="E3" s="51" t="s">
        <v>19</v>
      </c>
      <c r="F3" s="51" t="s">
        <v>4</v>
      </c>
      <c r="G3" s="22" t="s">
        <v>5</v>
      </c>
      <c r="H3" s="21" t="s">
        <v>6</v>
      </c>
      <c r="I3" s="21" t="s">
        <v>7</v>
      </c>
      <c r="J3" s="23" t="s">
        <v>8</v>
      </c>
    </row>
    <row r="4" spans="1:10" ht="15.6" x14ac:dyDescent="0.3">
      <c r="A4" s="5" t="s">
        <v>9</v>
      </c>
      <c r="B4" s="37" t="s">
        <v>10</v>
      </c>
      <c r="C4" s="71">
        <v>43</v>
      </c>
      <c r="D4" s="72" t="s">
        <v>33</v>
      </c>
      <c r="E4" s="52" t="s">
        <v>38</v>
      </c>
      <c r="F4" s="93">
        <f>19.2*250/200</f>
        <v>24</v>
      </c>
      <c r="G4" s="7">
        <f>260*250/200</f>
        <v>325</v>
      </c>
      <c r="H4" s="7">
        <f>8.01*250/200</f>
        <v>10.012499999999999</v>
      </c>
      <c r="I4" s="7">
        <f>8.64*250/200</f>
        <v>10.8</v>
      </c>
      <c r="J4" s="8">
        <f>38*250/200</f>
        <v>47.5</v>
      </c>
    </row>
    <row r="5" spans="1:10" ht="15.6" x14ac:dyDescent="0.3">
      <c r="A5" s="9"/>
      <c r="B5" s="39" t="s">
        <v>11</v>
      </c>
      <c r="C5" s="73">
        <v>30</v>
      </c>
      <c r="D5" s="74" t="s">
        <v>34</v>
      </c>
      <c r="E5" s="53">
        <v>200</v>
      </c>
      <c r="F5" s="87">
        <v>3.01</v>
      </c>
      <c r="G5" s="11">
        <v>43</v>
      </c>
      <c r="H5" s="11">
        <v>0.06</v>
      </c>
      <c r="I5" s="11">
        <v>0.01</v>
      </c>
      <c r="J5" s="12">
        <v>10.220000000000001</v>
      </c>
    </row>
    <row r="6" spans="1:10" ht="15.6" x14ac:dyDescent="0.3">
      <c r="A6" s="9"/>
      <c r="B6" s="40" t="s">
        <v>22</v>
      </c>
      <c r="C6" s="73">
        <v>3</v>
      </c>
      <c r="D6" s="74" t="s">
        <v>50</v>
      </c>
      <c r="E6" s="53">
        <v>10</v>
      </c>
      <c r="F6" s="87">
        <v>12.59</v>
      </c>
      <c r="G6" s="11">
        <f>65*10/10</f>
        <v>65</v>
      </c>
      <c r="H6" s="11">
        <f>0.08*10/10</f>
        <v>0.08</v>
      </c>
      <c r="I6" s="11">
        <f>7.15*10/10</f>
        <v>7.15</v>
      </c>
      <c r="J6" s="12">
        <f>0.13*10/10</f>
        <v>0.13</v>
      </c>
    </row>
    <row r="7" spans="1:10" ht="15.6" x14ac:dyDescent="0.3">
      <c r="A7" s="9"/>
      <c r="B7" s="40" t="s">
        <v>22</v>
      </c>
      <c r="C7" s="73">
        <v>6</v>
      </c>
      <c r="D7" s="74" t="s">
        <v>51</v>
      </c>
      <c r="E7" s="53">
        <v>13</v>
      </c>
      <c r="F7" s="87">
        <f>9.98*13/12</f>
        <v>10.811666666666667</v>
      </c>
      <c r="G7" s="11">
        <f>42*13/12</f>
        <v>45.5</v>
      </c>
      <c r="H7" s="11">
        <f>3.16*13/12</f>
        <v>3.4233333333333333</v>
      </c>
      <c r="I7" s="11">
        <f>3.19*13/12</f>
        <v>3.4558333333333331</v>
      </c>
      <c r="J7" s="12">
        <f>0*12/12</f>
        <v>0</v>
      </c>
    </row>
    <row r="8" spans="1:10" ht="15.6" x14ac:dyDescent="0.3">
      <c r="A8" s="9"/>
      <c r="B8" s="40" t="s">
        <v>22</v>
      </c>
      <c r="C8" s="73" t="s">
        <v>20</v>
      </c>
      <c r="D8" s="74" t="s">
        <v>35</v>
      </c>
      <c r="E8" s="53">
        <v>57</v>
      </c>
      <c r="F8" s="87">
        <f>179.51*0.057</f>
        <v>10.23207</v>
      </c>
      <c r="G8" s="11">
        <v>83.79</v>
      </c>
      <c r="H8" s="11">
        <v>4.67</v>
      </c>
      <c r="I8" s="11">
        <v>1.79</v>
      </c>
      <c r="J8" s="12">
        <v>12.12</v>
      </c>
    </row>
    <row r="9" spans="1:10" ht="15.6" x14ac:dyDescent="0.3">
      <c r="A9" s="9"/>
      <c r="B9" s="39" t="s">
        <v>16</v>
      </c>
      <c r="C9" s="73" t="s">
        <v>20</v>
      </c>
      <c r="D9" s="74" t="s">
        <v>21</v>
      </c>
      <c r="E9" s="53">
        <v>24</v>
      </c>
      <c r="F9" s="87">
        <v>1.34</v>
      </c>
      <c r="G9" s="11">
        <f>42*24/20</f>
        <v>50.4</v>
      </c>
      <c r="H9" s="11">
        <f>0.98*24/20</f>
        <v>1.1759999999999999</v>
      </c>
      <c r="I9" s="11">
        <f>0.2*24/20</f>
        <v>0.24000000000000005</v>
      </c>
      <c r="J9" s="12">
        <f>8.96*24/20</f>
        <v>10.752000000000001</v>
      </c>
    </row>
    <row r="10" spans="1:10" ht="15.6" x14ac:dyDescent="0.3">
      <c r="A10" s="9"/>
      <c r="B10" s="40" t="s">
        <v>17</v>
      </c>
      <c r="C10" s="73" t="s">
        <v>20</v>
      </c>
      <c r="D10" s="74" t="s">
        <v>55</v>
      </c>
      <c r="E10" s="53">
        <v>25</v>
      </c>
      <c r="F10" s="87">
        <f>101.5*0.025</f>
        <v>2.5375000000000001</v>
      </c>
      <c r="G10" s="11">
        <f>47*25/20</f>
        <v>58.75</v>
      </c>
      <c r="H10" s="11">
        <f>1.52*25/20</f>
        <v>1.9</v>
      </c>
      <c r="I10" s="11">
        <f>0.16*25/20</f>
        <v>0.2</v>
      </c>
      <c r="J10" s="12">
        <f>9.84*25/20</f>
        <v>12.3</v>
      </c>
    </row>
    <row r="11" spans="1:10" ht="16.2" thickBot="1" x14ac:dyDescent="0.35">
      <c r="A11" s="63"/>
      <c r="B11" s="64"/>
      <c r="C11" s="75"/>
      <c r="D11" s="76"/>
      <c r="E11" s="65"/>
      <c r="F11" s="94">
        <f>SUM(F4:F10)</f>
        <v>64.521236666666667</v>
      </c>
      <c r="G11" s="66">
        <f>SUM(G4:G10)</f>
        <v>671.43999999999994</v>
      </c>
      <c r="H11" s="66">
        <f>SUM(H4:H10)</f>
        <v>21.321833333333331</v>
      </c>
      <c r="I11" s="66">
        <f>SUM(I4:I10)</f>
        <v>23.645833333333332</v>
      </c>
      <c r="J11" s="68">
        <f>SUM(J4:J10)</f>
        <v>93.021999999999991</v>
      </c>
    </row>
    <row r="12" spans="1:10" ht="28.8" customHeight="1" x14ac:dyDescent="0.3">
      <c r="A12" s="5" t="s">
        <v>23</v>
      </c>
      <c r="B12" s="6" t="s">
        <v>24</v>
      </c>
      <c r="C12" s="77">
        <v>29</v>
      </c>
      <c r="D12" s="78" t="s">
        <v>36</v>
      </c>
      <c r="E12" s="54">
        <v>200</v>
      </c>
      <c r="F12" s="93">
        <v>10.8</v>
      </c>
      <c r="G12" s="7">
        <v>78</v>
      </c>
      <c r="H12" s="7">
        <v>0</v>
      </c>
      <c r="I12" s="7">
        <v>0</v>
      </c>
      <c r="J12" s="8">
        <v>19.399999999999999</v>
      </c>
    </row>
    <row r="13" spans="1:10" ht="15.6" x14ac:dyDescent="0.3">
      <c r="A13" s="9"/>
      <c r="B13" s="40" t="s">
        <v>22</v>
      </c>
      <c r="C13" s="79" t="s">
        <v>20</v>
      </c>
      <c r="D13" s="86" t="s">
        <v>40</v>
      </c>
      <c r="E13" s="53">
        <v>129</v>
      </c>
      <c r="F13" s="87">
        <v>21.53</v>
      </c>
      <c r="G13" s="11">
        <f>96*129/100</f>
        <v>123.84</v>
      </c>
      <c r="H13" s="11">
        <f>1.5*129/100</f>
        <v>1.9350000000000001</v>
      </c>
      <c r="I13" s="11">
        <f>0.5*129/100</f>
        <v>0.64500000000000002</v>
      </c>
      <c r="J13" s="12">
        <f>21*129/100</f>
        <v>27.09</v>
      </c>
    </row>
    <row r="14" spans="1:10" ht="15.6" x14ac:dyDescent="0.3">
      <c r="A14" s="9"/>
      <c r="B14" s="40" t="s">
        <v>22</v>
      </c>
      <c r="C14" s="81">
        <v>62</v>
      </c>
      <c r="D14" s="82" t="s">
        <v>29</v>
      </c>
      <c r="E14" s="55">
        <v>60</v>
      </c>
      <c r="F14" s="95">
        <f>13.38*60/50</f>
        <v>16.056000000000001</v>
      </c>
      <c r="G14" s="13">
        <f>171*60/50</f>
        <v>205.2</v>
      </c>
      <c r="H14" s="13">
        <f>5.02*60/50</f>
        <v>6.024</v>
      </c>
      <c r="I14" s="13">
        <f>5.41*60/50</f>
        <v>6.4920000000000009</v>
      </c>
      <c r="J14" s="14">
        <f>23*60/50</f>
        <v>27.6</v>
      </c>
    </row>
    <row r="15" spans="1:10" ht="16.2" thickBot="1" x14ac:dyDescent="0.35">
      <c r="A15" s="61"/>
      <c r="B15" s="47"/>
      <c r="C15" s="83"/>
      <c r="D15" s="84"/>
      <c r="E15" s="62"/>
      <c r="F15" s="96">
        <f>SUM(F12:F14)</f>
        <v>48.385999999999996</v>
      </c>
      <c r="G15" s="69">
        <f>SUM(G12:G14)</f>
        <v>407.03999999999996</v>
      </c>
      <c r="H15" s="69">
        <f>SUM(H12:H14)</f>
        <v>7.9589999999999996</v>
      </c>
      <c r="I15" s="69">
        <f>SUM(I12:I14)</f>
        <v>7.1370000000000005</v>
      </c>
      <c r="J15" s="70">
        <f>SUM(J12:J14)</f>
        <v>74.09</v>
      </c>
    </row>
    <row r="16" spans="1:10" ht="28.8" x14ac:dyDescent="0.3">
      <c r="A16" s="5" t="s">
        <v>12</v>
      </c>
      <c r="B16" s="6" t="s">
        <v>13</v>
      </c>
      <c r="C16" s="77">
        <v>4</v>
      </c>
      <c r="D16" s="92" t="s">
        <v>52</v>
      </c>
      <c r="E16" s="52" t="s">
        <v>32</v>
      </c>
      <c r="F16" s="93">
        <v>24.71</v>
      </c>
      <c r="G16" s="7">
        <v>8</v>
      </c>
      <c r="H16" s="7">
        <v>0.48</v>
      </c>
      <c r="I16" s="7">
        <v>0.06</v>
      </c>
      <c r="J16" s="8">
        <v>1.02</v>
      </c>
    </row>
    <row r="17" spans="1:10" ht="28.8" x14ac:dyDescent="0.3">
      <c r="A17" s="9"/>
      <c r="B17" s="10" t="s">
        <v>14</v>
      </c>
      <c r="C17" s="79">
        <v>49</v>
      </c>
      <c r="D17" s="80" t="s">
        <v>37</v>
      </c>
      <c r="E17" s="56" t="s">
        <v>39</v>
      </c>
      <c r="F17" s="87">
        <f>12.75*240/220+16.74*10/30</f>
        <v>19.489090909090908</v>
      </c>
      <c r="G17" s="11">
        <v>170</v>
      </c>
      <c r="H17" s="11">
        <v>8.15</v>
      </c>
      <c r="I17" s="11">
        <v>7.7</v>
      </c>
      <c r="J17" s="12">
        <v>13.12</v>
      </c>
    </row>
    <row r="18" spans="1:10" ht="28.8" x14ac:dyDescent="0.3">
      <c r="A18" s="9"/>
      <c r="B18" s="10" t="s">
        <v>15</v>
      </c>
      <c r="C18" s="79">
        <v>48</v>
      </c>
      <c r="D18" s="91" t="s">
        <v>53</v>
      </c>
      <c r="E18" s="56" t="s">
        <v>58</v>
      </c>
      <c r="F18" s="87">
        <f>22.14*20/50+22.35*180/150</f>
        <v>35.676000000000002</v>
      </c>
      <c r="G18" s="11">
        <v>271</v>
      </c>
      <c r="H18" s="11">
        <v>14.31</v>
      </c>
      <c r="I18" s="11">
        <v>14.62</v>
      </c>
      <c r="J18" s="12">
        <v>16.600000000000001</v>
      </c>
    </row>
    <row r="19" spans="1:10" ht="15.6" x14ac:dyDescent="0.3">
      <c r="A19" s="9"/>
      <c r="B19" s="10" t="s">
        <v>24</v>
      </c>
      <c r="C19" s="79">
        <v>25</v>
      </c>
      <c r="D19" s="80" t="s">
        <v>31</v>
      </c>
      <c r="E19" s="56" t="s">
        <v>30</v>
      </c>
      <c r="F19" s="87">
        <v>16.510000000000002</v>
      </c>
      <c r="G19" s="11">
        <v>136</v>
      </c>
      <c r="H19" s="11">
        <v>0.6</v>
      </c>
      <c r="I19" s="11">
        <v>0</v>
      </c>
      <c r="J19" s="12">
        <v>33</v>
      </c>
    </row>
    <row r="20" spans="1:10" ht="15.6" x14ac:dyDescent="0.3">
      <c r="A20" s="9"/>
      <c r="B20" s="10" t="s">
        <v>17</v>
      </c>
      <c r="C20" s="79" t="s">
        <v>20</v>
      </c>
      <c r="D20" s="80" t="s">
        <v>25</v>
      </c>
      <c r="E20" s="56" t="s">
        <v>59</v>
      </c>
      <c r="F20" s="87">
        <f>78.6*0.02</f>
        <v>1.5719999999999998</v>
      </c>
      <c r="G20" s="11">
        <f>47*32/20</f>
        <v>75.2</v>
      </c>
      <c r="H20" s="11">
        <f>1.52*32/20</f>
        <v>2.4319999999999999</v>
      </c>
      <c r="I20" s="11">
        <f>0.16*32/20</f>
        <v>0.25600000000000001</v>
      </c>
      <c r="J20" s="12">
        <f>9.84*32/20</f>
        <v>15.744</v>
      </c>
    </row>
    <row r="21" spans="1:10" ht="15.6" x14ac:dyDescent="0.3">
      <c r="A21" s="9"/>
      <c r="B21" s="15" t="s">
        <v>16</v>
      </c>
      <c r="C21" s="81" t="s">
        <v>20</v>
      </c>
      <c r="D21" s="82" t="s">
        <v>21</v>
      </c>
      <c r="E21" s="57" t="s">
        <v>59</v>
      </c>
      <c r="F21" s="95">
        <f>57.54*0.02</f>
        <v>1.1508</v>
      </c>
      <c r="G21" s="11">
        <f>42*32/20</f>
        <v>67.2</v>
      </c>
      <c r="H21" s="11">
        <f>0.98*32/20</f>
        <v>1.5680000000000001</v>
      </c>
      <c r="I21" s="11">
        <f>0.2*32/20</f>
        <v>0.32</v>
      </c>
      <c r="J21" s="12">
        <f>8.96*32/20</f>
        <v>14.336000000000002</v>
      </c>
    </row>
    <row r="22" spans="1:10" ht="16.2" thickBot="1" x14ac:dyDescent="0.35">
      <c r="A22" s="46"/>
      <c r="B22" s="47"/>
      <c r="C22" s="48"/>
      <c r="D22" s="48"/>
      <c r="E22" s="60"/>
      <c r="F22" s="97">
        <v>96.79</v>
      </c>
      <c r="G22" s="49">
        <f>SUM(G16:G21)</f>
        <v>727.40000000000009</v>
      </c>
      <c r="H22" s="49">
        <f>SUM(H16:H21)</f>
        <v>27.540000000000003</v>
      </c>
      <c r="I22" s="49">
        <f>SUM(I16:I21)</f>
        <v>22.956</v>
      </c>
      <c r="J22" s="50">
        <f>SUM(J16:J21)</f>
        <v>93.820000000000007</v>
      </c>
    </row>
    <row r="23" spans="1:10" ht="16.2" thickBot="1" x14ac:dyDescent="0.35">
      <c r="B23" s="1" t="s">
        <v>42</v>
      </c>
      <c r="E23" s="58"/>
      <c r="F23" s="58"/>
    </row>
    <row r="24" spans="1:10" ht="29.4" thickBot="1" x14ac:dyDescent="0.35">
      <c r="A24" s="2" t="s">
        <v>1</v>
      </c>
      <c r="B24" s="3" t="s">
        <v>2</v>
      </c>
      <c r="C24" s="3" t="s">
        <v>18</v>
      </c>
      <c r="D24" s="3" t="s">
        <v>3</v>
      </c>
      <c r="E24" s="59" t="s">
        <v>19</v>
      </c>
      <c r="F24" s="59" t="s">
        <v>4</v>
      </c>
      <c r="G24" s="19" t="s">
        <v>5</v>
      </c>
      <c r="H24" s="3" t="s">
        <v>6</v>
      </c>
      <c r="I24" s="3" t="s">
        <v>7</v>
      </c>
      <c r="J24" s="4" t="s">
        <v>8</v>
      </c>
    </row>
    <row r="25" spans="1:10" ht="15.6" x14ac:dyDescent="0.3">
      <c r="A25" s="5" t="s">
        <v>9</v>
      </c>
      <c r="B25" s="37" t="s">
        <v>10</v>
      </c>
      <c r="C25" s="71">
        <v>43</v>
      </c>
      <c r="D25" s="72" t="s">
        <v>33</v>
      </c>
      <c r="E25" s="52" t="s">
        <v>38</v>
      </c>
      <c r="F25" s="93">
        <f>19.2*250/200</f>
        <v>24</v>
      </c>
      <c r="G25" s="7">
        <f>260*250/200</f>
        <v>325</v>
      </c>
      <c r="H25" s="7">
        <f>8.01*250/200</f>
        <v>10.012499999999999</v>
      </c>
      <c r="I25" s="7">
        <f>8.64*250/200</f>
        <v>10.8</v>
      </c>
      <c r="J25" s="8">
        <f>38*250/200</f>
        <v>47.5</v>
      </c>
    </row>
    <row r="26" spans="1:10" ht="15.6" x14ac:dyDescent="0.3">
      <c r="A26" s="9"/>
      <c r="B26" s="39" t="s">
        <v>11</v>
      </c>
      <c r="C26" s="73">
        <v>30</v>
      </c>
      <c r="D26" s="74" t="s">
        <v>34</v>
      </c>
      <c r="E26" s="53">
        <v>200</v>
      </c>
      <c r="F26" s="87">
        <v>3.01</v>
      </c>
      <c r="G26" s="11">
        <v>43</v>
      </c>
      <c r="H26" s="11">
        <v>0.06</v>
      </c>
      <c r="I26" s="11">
        <v>0.01</v>
      </c>
      <c r="J26" s="12">
        <v>10.220000000000001</v>
      </c>
    </row>
    <row r="27" spans="1:10" ht="15.6" x14ac:dyDescent="0.3">
      <c r="A27" s="9"/>
      <c r="B27" s="40" t="s">
        <v>22</v>
      </c>
      <c r="C27" s="73">
        <v>3</v>
      </c>
      <c r="D27" s="74" t="s">
        <v>50</v>
      </c>
      <c r="E27" s="53">
        <v>10</v>
      </c>
      <c r="F27" s="87">
        <v>12.59</v>
      </c>
      <c r="G27" s="11">
        <f>65*10/10</f>
        <v>65</v>
      </c>
      <c r="H27" s="11">
        <f>0.08*10/10</f>
        <v>0.08</v>
      </c>
      <c r="I27" s="11">
        <f>7.15*10/10</f>
        <v>7.15</v>
      </c>
      <c r="J27" s="12">
        <f>0.13*10/10</f>
        <v>0.13</v>
      </c>
    </row>
    <row r="28" spans="1:10" ht="15.6" x14ac:dyDescent="0.3">
      <c r="A28" s="9"/>
      <c r="B28" s="40" t="s">
        <v>22</v>
      </c>
      <c r="C28" s="73">
        <v>6</v>
      </c>
      <c r="D28" s="74" t="s">
        <v>51</v>
      </c>
      <c r="E28" s="53">
        <v>24</v>
      </c>
      <c r="F28" s="87">
        <f>12.28*24/15</f>
        <v>19.648</v>
      </c>
      <c r="G28" s="11">
        <f>52.5*24/15</f>
        <v>84</v>
      </c>
      <c r="H28" s="11">
        <f>3.95*24/15</f>
        <v>6.3200000000000012</v>
      </c>
      <c r="I28" s="11">
        <f>3.99*24/15</f>
        <v>6.3840000000000003</v>
      </c>
      <c r="J28" s="12">
        <v>0</v>
      </c>
    </row>
    <row r="29" spans="1:10" ht="15.6" x14ac:dyDescent="0.3">
      <c r="A29" s="9"/>
      <c r="B29" s="40" t="s">
        <v>22</v>
      </c>
      <c r="C29" s="73" t="s">
        <v>20</v>
      </c>
      <c r="D29" s="74" t="s">
        <v>35</v>
      </c>
      <c r="E29" s="53">
        <v>57</v>
      </c>
      <c r="F29" s="87">
        <f>179.51*0.057</f>
        <v>10.23207</v>
      </c>
      <c r="G29" s="11">
        <f>83.79*57/38</f>
        <v>125.68500000000002</v>
      </c>
      <c r="H29" s="11">
        <f>4.67*57/38</f>
        <v>7.0049999999999999</v>
      </c>
      <c r="I29" s="11">
        <f>1.79*57/38</f>
        <v>2.6850000000000001</v>
      </c>
      <c r="J29" s="12">
        <f>12.12*57/38</f>
        <v>18.179999999999996</v>
      </c>
    </row>
    <row r="30" spans="1:10" ht="15.6" x14ac:dyDescent="0.3">
      <c r="A30" s="9"/>
      <c r="B30" s="39" t="s">
        <v>16</v>
      </c>
      <c r="C30" s="73" t="s">
        <v>20</v>
      </c>
      <c r="D30" s="74" t="s">
        <v>21</v>
      </c>
      <c r="E30" s="53">
        <v>35</v>
      </c>
      <c r="F30" s="87">
        <v>1.99</v>
      </c>
      <c r="G30" s="11">
        <f>42*35/20</f>
        <v>73.5</v>
      </c>
      <c r="H30" s="11">
        <f>0.98*35/20</f>
        <v>1.7149999999999999</v>
      </c>
      <c r="I30" s="11">
        <f>0.2*35/20</f>
        <v>0.35</v>
      </c>
      <c r="J30" s="12">
        <f>8.96*35/20</f>
        <v>15.680000000000001</v>
      </c>
    </row>
    <row r="31" spans="1:10" ht="15.6" x14ac:dyDescent="0.3">
      <c r="A31" s="9"/>
      <c r="B31" s="40" t="s">
        <v>17</v>
      </c>
      <c r="C31" s="73" t="s">
        <v>20</v>
      </c>
      <c r="D31" s="74" t="s">
        <v>55</v>
      </c>
      <c r="E31" s="53">
        <v>35</v>
      </c>
      <c r="F31" s="87">
        <f>101.5*0.035</f>
        <v>3.5525000000000002</v>
      </c>
      <c r="G31" s="11">
        <f>47*35/20</f>
        <v>82.25</v>
      </c>
      <c r="H31" s="11">
        <f>1.52*35/20</f>
        <v>2.66</v>
      </c>
      <c r="I31" s="11">
        <f>0.16*35/20</f>
        <v>0.28000000000000003</v>
      </c>
      <c r="J31" s="12">
        <f>9.84*35/20</f>
        <v>17.22</v>
      </c>
    </row>
    <row r="32" spans="1:10" ht="16.2" thickBot="1" x14ac:dyDescent="0.35">
      <c r="A32" s="63"/>
      <c r="B32" s="64"/>
      <c r="C32" s="75"/>
      <c r="D32" s="76"/>
      <c r="E32" s="65"/>
      <c r="F32" s="94">
        <f>SUM(F25:F31)</f>
        <v>75.022569999999973</v>
      </c>
      <c r="G32" s="66">
        <f>SUM(G25:G31)</f>
        <v>798.43500000000006</v>
      </c>
      <c r="H32" s="66">
        <f>SUM(H25:H31)</f>
        <v>27.852499999999999</v>
      </c>
      <c r="I32" s="66">
        <f>SUM(I25:I31)</f>
        <v>27.659000000000002</v>
      </c>
      <c r="J32" s="68">
        <f>SUM(J25:J31)</f>
        <v>108.93</v>
      </c>
    </row>
    <row r="33" spans="1:10" ht="15.6" x14ac:dyDescent="0.3">
      <c r="A33" s="5" t="s">
        <v>23</v>
      </c>
      <c r="B33" s="6" t="s">
        <v>24</v>
      </c>
      <c r="C33" s="77">
        <v>29</v>
      </c>
      <c r="D33" s="78" t="s">
        <v>36</v>
      </c>
      <c r="E33" s="54">
        <v>200</v>
      </c>
      <c r="F33" s="93">
        <v>10.8</v>
      </c>
      <c r="G33" s="7">
        <v>78</v>
      </c>
      <c r="H33" s="7">
        <v>0</v>
      </c>
      <c r="I33" s="7">
        <v>0</v>
      </c>
      <c r="J33" s="8">
        <v>19.399999999999999</v>
      </c>
    </row>
    <row r="34" spans="1:10" ht="15.6" x14ac:dyDescent="0.3">
      <c r="A34" s="9"/>
      <c r="B34" s="40" t="s">
        <v>22</v>
      </c>
      <c r="C34" s="79" t="s">
        <v>20</v>
      </c>
      <c r="D34" s="98" t="s">
        <v>40</v>
      </c>
      <c r="E34" s="53">
        <v>129</v>
      </c>
      <c r="F34" s="87">
        <v>21.53</v>
      </c>
      <c r="G34" s="11">
        <f>96*129/100</f>
        <v>123.84</v>
      </c>
      <c r="H34" s="11">
        <f>1.5*129/100</f>
        <v>1.9350000000000001</v>
      </c>
      <c r="I34" s="11">
        <f>0.5*129/100</f>
        <v>0.64500000000000002</v>
      </c>
      <c r="J34" s="12">
        <f>21*129/100</f>
        <v>27.09</v>
      </c>
    </row>
    <row r="35" spans="1:10" ht="15.6" x14ac:dyDescent="0.3">
      <c r="A35" s="9"/>
      <c r="B35" s="40" t="s">
        <v>22</v>
      </c>
      <c r="C35" s="81">
        <v>62</v>
      </c>
      <c r="D35" s="82" t="s">
        <v>29</v>
      </c>
      <c r="E35" s="55">
        <v>90</v>
      </c>
      <c r="F35" s="95">
        <v>23.93</v>
      </c>
      <c r="G35" s="13">
        <f>171*90/50</f>
        <v>307.8</v>
      </c>
      <c r="H35" s="13">
        <f>5.02*90/50</f>
        <v>9.0359999999999996</v>
      </c>
      <c r="I35" s="13">
        <f>5.41*90/50</f>
        <v>9.7380000000000013</v>
      </c>
      <c r="J35" s="14">
        <f>23*90/50</f>
        <v>41.4</v>
      </c>
    </row>
    <row r="36" spans="1:10" ht="16.2" thickBot="1" x14ac:dyDescent="0.35">
      <c r="A36" s="61"/>
      <c r="B36" s="47"/>
      <c r="C36" s="83"/>
      <c r="D36" s="84"/>
      <c r="E36" s="62"/>
      <c r="F36" s="96">
        <f>SUM(F33:F35)</f>
        <v>56.26</v>
      </c>
      <c r="G36" s="69">
        <f>SUM(G33:G35)</f>
        <v>509.64</v>
      </c>
      <c r="H36" s="69">
        <f>SUM(H33:H35)</f>
        <v>10.971</v>
      </c>
      <c r="I36" s="69">
        <f>SUM(I33:I35)</f>
        <v>10.383000000000001</v>
      </c>
      <c r="J36" s="70">
        <f>SUM(J33:J35)</f>
        <v>87.889999999999986</v>
      </c>
    </row>
    <row r="37" spans="1:10" ht="28.8" x14ac:dyDescent="0.3">
      <c r="A37" s="5" t="s">
        <v>12</v>
      </c>
      <c r="B37" s="6" t="s">
        <v>13</v>
      </c>
      <c r="C37" s="77">
        <v>4</v>
      </c>
      <c r="D37" s="92" t="s">
        <v>52</v>
      </c>
      <c r="E37" s="52" t="s">
        <v>45</v>
      </c>
      <c r="F37" s="93">
        <v>41.19</v>
      </c>
      <c r="G37" s="7">
        <f>8*100/60</f>
        <v>13.333333333333334</v>
      </c>
      <c r="H37" s="7">
        <f>0.48*100/60</f>
        <v>0.8</v>
      </c>
      <c r="I37" s="7">
        <f>0.06*100/60</f>
        <v>0.1</v>
      </c>
      <c r="J37" s="8">
        <f>1.02*100/60</f>
        <v>1.7</v>
      </c>
    </row>
    <row r="38" spans="1:10" ht="28.8" x14ac:dyDescent="0.3">
      <c r="A38" s="9"/>
      <c r="B38" s="10" t="s">
        <v>14</v>
      </c>
      <c r="C38" s="79">
        <v>49</v>
      </c>
      <c r="D38" s="80" t="s">
        <v>37</v>
      </c>
      <c r="E38" s="56" t="s">
        <v>39</v>
      </c>
      <c r="F38" s="87">
        <f>12.75*240/220+16.74*10/30</f>
        <v>19.489090909090908</v>
      </c>
      <c r="G38" s="11">
        <v>170</v>
      </c>
      <c r="H38" s="11">
        <v>8.15</v>
      </c>
      <c r="I38" s="11">
        <v>7.7</v>
      </c>
      <c r="J38" s="12">
        <v>13.12</v>
      </c>
    </row>
    <row r="39" spans="1:10" ht="28.8" x14ac:dyDescent="0.3">
      <c r="A39" s="9"/>
      <c r="B39" s="10" t="s">
        <v>15</v>
      </c>
      <c r="C39" s="79">
        <v>48</v>
      </c>
      <c r="D39" s="91" t="s">
        <v>53</v>
      </c>
      <c r="E39" s="56" t="s">
        <v>60</v>
      </c>
      <c r="F39" s="87">
        <f>26.7*30/60+28.1*210/180</f>
        <v>46.133333333333333</v>
      </c>
      <c r="G39" s="11">
        <v>316.17</v>
      </c>
      <c r="H39" s="11">
        <v>16.7</v>
      </c>
      <c r="I39" s="11">
        <v>17.059999999999999</v>
      </c>
      <c r="J39" s="12">
        <v>19.37</v>
      </c>
    </row>
    <row r="40" spans="1:10" ht="15.6" x14ac:dyDescent="0.3">
      <c r="A40" s="9"/>
      <c r="B40" s="10" t="s">
        <v>24</v>
      </c>
      <c r="C40" s="79">
        <v>25</v>
      </c>
      <c r="D40" s="80" t="s">
        <v>31</v>
      </c>
      <c r="E40" s="56" t="s">
        <v>30</v>
      </c>
      <c r="F40" s="87">
        <v>16.510000000000002</v>
      </c>
      <c r="G40" s="11">
        <v>136</v>
      </c>
      <c r="H40" s="11">
        <v>0.6</v>
      </c>
      <c r="I40" s="11">
        <v>0</v>
      </c>
      <c r="J40" s="12">
        <v>33</v>
      </c>
    </row>
    <row r="41" spans="1:10" ht="15.6" x14ac:dyDescent="0.3">
      <c r="A41" s="9"/>
      <c r="B41" s="10" t="s">
        <v>17</v>
      </c>
      <c r="C41" s="79" t="s">
        <v>20</v>
      </c>
      <c r="D41" s="80" t="s">
        <v>25</v>
      </c>
      <c r="E41" s="56" t="s">
        <v>61</v>
      </c>
      <c r="F41" s="87">
        <f>78.6*0.03</f>
        <v>2.3579999999999997</v>
      </c>
      <c r="G41" s="11">
        <f>47*30/20</f>
        <v>70.5</v>
      </c>
      <c r="H41" s="11">
        <f>1.52*30/20</f>
        <v>2.2800000000000002</v>
      </c>
      <c r="I41" s="11">
        <f>0.16*30/20</f>
        <v>0.24</v>
      </c>
      <c r="J41" s="12">
        <f>9.84*30/20</f>
        <v>14.76</v>
      </c>
    </row>
    <row r="42" spans="1:10" ht="15.6" x14ac:dyDescent="0.3">
      <c r="A42" s="9"/>
      <c r="B42" s="15" t="s">
        <v>16</v>
      </c>
      <c r="C42" s="81" t="s">
        <v>20</v>
      </c>
      <c r="D42" s="82" t="s">
        <v>21</v>
      </c>
      <c r="E42" s="57" t="s">
        <v>61</v>
      </c>
      <c r="F42" s="95">
        <f>57.54*0.03</f>
        <v>1.7262</v>
      </c>
      <c r="G42" s="11">
        <f>42*30/20</f>
        <v>63</v>
      </c>
      <c r="H42" s="11">
        <f>0.98*30/20</f>
        <v>1.47</v>
      </c>
      <c r="I42" s="11">
        <f>0.2*30/20</f>
        <v>0.3</v>
      </c>
      <c r="J42" s="12">
        <f>8.96*30/20</f>
        <v>13.440000000000001</v>
      </c>
    </row>
    <row r="43" spans="1:10" ht="16.2" thickBot="1" x14ac:dyDescent="0.35">
      <c r="A43" s="46"/>
      <c r="B43" s="47"/>
      <c r="C43" s="48"/>
      <c r="D43" s="48"/>
      <c r="E43" s="60"/>
      <c r="F43" s="97">
        <v>112.52</v>
      </c>
      <c r="G43" s="49">
        <f>SUM(G37:G42)</f>
        <v>769.00333333333333</v>
      </c>
      <c r="H43" s="49">
        <f>SUM(H37:H42)</f>
        <v>30</v>
      </c>
      <c r="I43" s="49">
        <f>SUM(I37:I42)</f>
        <v>25.4</v>
      </c>
      <c r="J43" s="50">
        <f>SUM(J37:J42)</f>
        <v>95.39</v>
      </c>
    </row>
    <row r="44" spans="1:10" ht="21.6" customHeight="1" x14ac:dyDescent="0.3">
      <c r="A44" s="25" t="s">
        <v>56</v>
      </c>
    </row>
    <row r="45" spans="1:10" s="26" customFormat="1" ht="21.6" customHeight="1" x14ac:dyDescent="0.3">
      <c r="A45" s="25" t="s">
        <v>27</v>
      </c>
      <c r="B45"/>
      <c r="C45"/>
      <c r="D45"/>
      <c r="E45" s="27"/>
      <c r="F45" s="27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7" orientation="portrait" r:id="rId1"/>
  <ignoredErrors>
    <ignoredError sqref="I11:J11 J15 F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abSelected="1" zoomScaleNormal="100" workbookViewId="0">
      <selection activeCell="N2" sqref="N2"/>
    </sheetView>
  </sheetViews>
  <sheetFormatPr defaultRowHeight="14.4" x14ac:dyDescent="0.3"/>
  <cols>
    <col min="1" max="1" width="11.77734375" style="26" bestFit="1" customWidth="1"/>
    <col min="2" max="2" width="11.5546875" style="26" customWidth="1"/>
    <col min="3" max="3" width="7.109375" style="26" bestFit="1" customWidth="1"/>
    <col min="4" max="4" width="30.109375" style="26" customWidth="1"/>
    <col min="5" max="5" width="9.5546875" style="27" customWidth="1"/>
    <col min="6" max="6" width="7.109375" style="27" bestFit="1" customWidth="1"/>
    <col min="7" max="7" width="7.6640625" style="26" customWidth="1"/>
    <col min="8" max="8" width="6.77734375" style="26" bestFit="1" customWidth="1"/>
    <col min="9" max="9" width="12.21875" style="26" customWidth="1"/>
    <col min="10" max="10" width="8.5546875" style="26" customWidth="1"/>
    <col min="11" max="16384" width="8.88671875" style="26"/>
  </cols>
  <sheetData>
    <row r="1" spans="1:10" ht="28.8" customHeight="1" x14ac:dyDescent="0.3">
      <c r="A1" s="26" t="s">
        <v>0</v>
      </c>
      <c r="B1" s="104" t="s">
        <v>63</v>
      </c>
      <c r="C1" s="105"/>
      <c r="D1" s="106"/>
      <c r="E1" s="27" t="s">
        <v>26</v>
      </c>
      <c r="F1" s="28"/>
      <c r="H1" s="26" t="s">
        <v>43</v>
      </c>
      <c r="I1" s="16">
        <v>45775</v>
      </c>
    </row>
    <row r="2" spans="1:10" ht="15" thickBot="1" x14ac:dyDescent="0.35">
      <c r="B2" s="29" t="s">
        <v>28</v>
      </c>
    </row>
    <row r="3" spans="1:10" s="35" customFormat="1" ht="29.4" thickBot="1" x14ac:dyDescent="0.35">
      <c r="A3" s="30" t="s">
        <v>1</v>
      </c>
      <c r="B3" s="31" t="s">
        <v>2</v>
      </c>
      <c r="C3" s="31" t="s">
        <v>18</v>
      </c>
      <c r="D3" s="31" t="s">
        <v>3</v>
      </c>
      <c r="E3" s="32" t="s">
        <v>19</v>
      </c>
      <c r="F3" s="32" t="s">
        <v>4</v>
      </c>
      <c r="G3" s="33" t="s">
        <v>5</v>
      </c>
      <c r="H3" s="31" t="s">
        <v>6</v>
      </c>
      <c r="I3" s="31" t="s">
        <v>7</v>
      </c>
      <c r="J3" s="34" t="s">
        <v>8</v>
      </c>
    </row>
    <row r="4" spans="1:10" ht="15.6" x14ac:dyDescent="0.3">
      <c r="A4" s="5" t="s">
        <v>9</v>
      </c>
      <c r="B4" s="37" t="s">
        <v>10</v>
      </c>
      <c r="C4" s="71">
        <v>43</v>
      </c>
      <c r="D4" s="72" t="s">
        <v>33</v>
      </c>
      <c r="E4" s="52" t="s">
        <v>38</v>
      </c>
      <c r="F4" s="93">
        <f>25.53*250/200</f>
        <v>31.912500000000001</v>
      </c>
      <c r="G4" s="7">
        <f>260*250/200</f>
        <v>325</v>
      </c>
      <c r="H4" s="7">
        <f>8.01*250/200</f>
        <v>10.012499999999999</v>
      </c>
      <c r="I4" s="7">
        <f>8.64*250/200</f>
        <v>10.8</v>
      </c>
      <c r="J4" s="8">
        <f>38*250/200</f>
        <v>47.5</v>
      </c>
    </row>
    <row r="5" spans="1:10" ht="15.6" x14ac:dyDescent="0.3">
      <c r="A5" s="9"/>
      <c r="B5" s="39" t="s">
        <v>11</v>
      </c>
      <c r="C5" s="73">
        <v>30</v>
      </c>
      <c r="D5" s="74" t="s">
        <v>34</v>
      </c>
      <c r="E5" s="53">
        <v>200</v>
      </c>
      <c r="F5" s="87">
        <v>4.01</v>
      </c>
      <c r="G5" s="11">
        <v>43</v>
      </c>
      <c r="H5" s="11">
        <v>0.06</v>
      </c>
      <c r="I5" s="11">
        <v>0.01</v>
      </c>
      <c r="J5" s="12">
        <v>10.220000000000001</v>
      </c>
    </row>
    <row r="6" spans="1:10" ht="15.6" x14ac:dyDescent="0.3">
      <c r="A6" s="9"/>
      <c r="B6" s="40" t="s">
        <v>22</v>
      </c>
      <c r="C6" s="73">
        <v>3</v>
      </c>
      <c r="D6" s="74" t="s">
        <v>50</v>
      </c>
      <c r="E6" s="53">
        <v>10</v>
      </c>
      <c r="F6" s="87">
        <v>16.739999999999998</v>
      </c>
      <c r="G6" s="11">
        <f>65*10/10</f>
        <v>65</v>
      </c>
      <c r="H6" s="11">
        <f>0.08*10/10</f>
        <v>0.08</v>
      </c>
      <c r="I6" s="11">
        <f>7.15*10/10</f>
        <v>7.15</v>
      </c>
      <c r="J6" s="12">
        <f>0.13*10/10</f>
        <v>0.13</v>
      </c>
    </row>
    <row r="7" spans="1:10" ht="15.6" x14ac:dyDescent="0.3">
      <c r="A7" s="9"/>
      <c r="B7" s="40" t="s">
        <v>22</v>
      </c>
      <c r="C7" s="73">
        <v>6</v>
      </c>
      <c r="D7" s="74" t="s">
        <v>51</v>
      </c>
      <c r="E7" s="53">
        <v>13</v>
      </c>
      <c r="F7" s="87">
        <f>13.27*13/12</f>
        <v>14.375833333333333</v>
      </c>
      <c r="G7" s="11">
        <f>42*13/12</f>
        <v>45.5</v>
      </c>
      <c r="H7" s="11">
        <f>3.16*13/12</f>
        <v>3.4233333333333333</v>
      </c>
      <c r="I7" s="11">
        <f>3.19*13/12</f>
        <v>3.4558333333333331</v>
      </c>
      <c r="J7" s="12">
        <f>0*12/12</f>
        <v>0</v>
      </c>
    </row>
    <row r="8" spans="1:10" ht="15.6" x14ac:dyDescent="0.3">
      <c r="A8" s="9"/>
      <c r="B8" s="40" t="s">
        <v>22</v>
      </c>
      <c r="C8" s="73" t="s">
        <v>20</v>
      </c>
      <c r="D8" s="74" t="s">
        <v>35</v>
      </c>
      <c r="E8" s="53">
        <v>57</v>
      </c>
      <c r="F8" s="87">
        <f>179.51*0.057*1.33</f>
        <v>13.608653100000002</v>
      </c>
      <c r="G8" s="11">
        <v>83.79</v>
      </c>
      <c r="H8" s="11">
        <v>4.67</v>
      </c>
      <c r="I8" s="11">
        <v>1.79</v>
      </c>
      <c r="J8" s="12">
        <v>12.12</v>
      </c>
    </row>
    <row r="9" spans="1:10" ht="15.6" x14ac:dyDescent="0.3">
      <c r="A9" s="9"/>
      <c r="B9" s="39" t="s">
        <v>16</v>
      </c>
      <c r="C9" s="73" t="s">
        <v>20</v>
      </c>
      <c r="D9" s="74" t="s">
        <v>21</v>
      </c>
      <c r="E9" s="53">
        <v>28</v>
      </c>
      <c r="F9" s="87">
        <f>69.05*0.028</f>
        <v>1.9334</v>
      </c>
      <c r="G9" s="11">
        <f>42*28/20</f>
        <v>58.8</v>
      </c>
      <c r="H9" s="11">
        <f>0.98*28/20</f>
        <v>1.3719999999999999</v>
      </c>
      <c r="I9" s="11">
        <f>0.2*28/20</f>
        <v>0.28000000000000003</v>
      </c>
      <c r="J9" s="12">
        <f>8.96*28/20</f>
        <v>12.544</v>
      </c>
    </row>
    <row r="10" spans="1:10" ht="15.6" x14ac:dyDescent="0.3">
      <c r="A10" s="9"/>
      <c r="B10" s="40" t="s">
        <v>17</v>
      </c>
      <c r="C10" s="73" t="s">
        <v>20</v>
      </c>
      <c r="D10" s="74" t="s">
        <v>55</v>
      </c>
      <c r="E10" s="53">
        <v>29</v>
      </c>
      <c r="F10" s="87">
        <v>3.42</v>
      </c>
      <c r="G10" s="11">
        <f>47*29/20</f>
        <v>68.150000000000006</v>
      </c>
      <c r="H10" s="11">
        <f>1.52*29/20</f>
        <v>2.2039999999999997</v>
      </c>
      <c r="I10" s="11">
        <f>0.16*29/20</f>
        <v>0.23199999999999998</v>
      </c>
      <c r="J10" s="12">
        <f>9.84*29/20</f>
        <v>14.268000000000001</v>
      </c>
    </row>
    <row r="11" spans="1:10" ht="16.2" thickBot="1" x14ac:dyDescent="0.35">
      <c r="A11" s="9"/>
      <c r="B11" s="64"/>
      <c r="C11" s="75"/>
      <c r="D11" s="76"/>
      <c r="E11" s="65"/>
      <c r="F11" s="94">
        <f>SUM(F4:F10)</f>
        <v>86.000386433333333</v>
      </c>
      <c r="G11" s="66">
        <f>SUM(G4:G10)</f>
        <v>689.2399999999999</v>
      </c>
      <c r="H11" s="66">
        <f>SUM(H4:H10)</f>
        <v>21.821833333333334</v>
      </c>
      <c r="I11" s="66">
        <f>SUM(I4:I10)</f>
        <v>23.717833333333335</v>
      </c>
      <c r="J11" s="68">
        <f>SUM(J4:J10)</f>
        <v>96.781999999999996</v>
      </c>
    </row>
    <row r="12" spans="1:10" ht="15.6" x14ac:dyDescent="0.3">
      <c r="A12" s="36"/>
      <c r="B12" s="10" t="s">
        <v>46</v>
      </c>
      <c r="C12" s="88">
        <v>24</v>
      </c>
      <c r="D12" s="91" t="s">
        <v>54</v>
      </c>
      <c r="E12" s="56" t="s">
        <v>62</v>
      </c>
      <c r="F12" s="87">
        <f>15.54*180/150</f>
        <v>18.648</v>
      </c>
      <c r="G12" s="11">
        <f>222.84*180/150</f>
        <v>267.40799999999996</v>
      </c>
      <c r="H12" s="11">
        <f>8.21*180/150</f>
        <v>9.8520000000000021</v>
      </c>
      <c r="I12" s="11">
        <f>5.15*180/150</f>
        <v>6.1800000000000006</v>
      </c>
      <c r="J12" s="12">
        <f>35.91*180/150</f>
        <v>43.091999999999992</v>
      </c>
    </row>
    <row r="13" spans="1:10" ht="15.6" x14ac:dyDescent="0.3">
      <c r="A13" s="38"/>
      <c r="B13" s="10" t="s">
        <v>15</v>
      </c>
      <c r="C13" s="88">
        <v>19</v>
      </c>
      <c r="D13" s="89" t="s">
        <v>47</v>
      </c>
      <c r="E13" s="90" t="s">
        <v>49</v>
      </c>
      <c r="F13" s="87">
        <f>51.76*50/53+16.76*40/37</f>
        <v>66.949107598164204</v>
      </c>
      <c r="G13" s="11">
        <v>151</v>
      </c>
      <c r="H13" s="11">
        <v>11.35</v>
      </c>
      <c r="I13" s="11">
        <v>12.51</v>
      </c>
      <c r="J13" s="12">
        <v>3.76</v>
      </c>
    </row>
    <row r="14" spans="1:10" ht="15.6" x14ac:dyDescent="0.3">
      <c r="A14" s="38"/>
      <c r="B14" s="10" t="s">
        <v>24</v>
      </c>
      <c r="C14" s="79">
        <v>57</v>
      </c>
      <c r="D14" s="101" t="s">
        <v>57</v>
      </c>
      <c r="E14" s="56" t="s">
        <v>30</v>
      </c>
      <c r="F14" s="87">
        <v>1.45</v>
      </c>
      <c r="G14" s="11">
        <v>41</v>
      </c>
      <c r="H14" s="11">
        <v>0</v>
      </c>
      <c r="I14" s="11">
        <v>0</v>
      </c>
      <c r="J14" s="12">
        <v>10.01</v>
      </c>
    </row>
    <row r="15" spans="1:10" ht="15.6" x14ac:dyDescent="0.3">
      <c r="A15" s="102"/>
      <c r="B15" s="40" t="s">
        <v>17</v>
      </c>
      <c r="C15" s="73" t="s">
        <v>20</v>
      </c>
      <c r="D15" s="74" t="s">
        <v>25</v>
      </c>
      <c r="E15" s="53">
        <v>32</v>
      </c>
      <c r="F15" s="87">
        <v>2.95</v>
      </c>
      <c r="G15" s="11">
        <f>47*32/20</f>
        <v>75.2</v>
      </c>
      <c r="H15" s="11">
        <f>1.52*32/20</f>
        <v>2.4319999999999999</v>
      </c>
      <c r="I15" s="11">
        <f>0.16*32/20</f>
        <v>0.25600000000000001</v>
      </c>
      <c r="J15" s="12">
        <f>9.84*32/20</f>
        <v>15.744</v>
      </c>
    </row>
    <row r="16" spans="1:10" ht="16.2" thickBot="1" x14ac:dyDescent="0.35">
      <c r="A16" s="103"/>
      <c r="B16" s="41"/>
      <c r="C16" s="85"/>
      <c r="D16" s="85"/>
      <c r="E16" s="67"/>
      <c r="F16" s="99">
        <f>SUM(F12:F15)</f>
        <v>89.997107598164206</v>
      </c>
      <c r="G16" s="44">
        <f>SUM(G12:G15)</f>
        <v>534.60799999999995</v>
      </c>
      <c r="H16" s="44">
        <f>SUM(H12:H15)</f>
        <v>23.634</v>
      </c>
      <c r="I16" s="44">
        <f>SUM(I12:I15)</f>
        <v>18.946000000000002</v>
      </c>
      <c r="J16" s="45">
        <f>SUM(J12:J15)</f>
        <v>72.605999999999995</v>
      </c>
    </row>
    <row r="17" spans="1:10" ht="15.6" x14ac:dyDescent="0.3">
      <c r="A17" s="36"/>
      <c r="B17" s="10" t="s">
        <v>46</v>
      </c>
      <c r="C17" s="88">
        <v>24</v>
      </c>
      <c r="D17" s="91" t="s">
        <v>54</v>
      </c>
      <c r="E17" s="56" t="s">
        <v>48</v>
      </c>
      <c r="F17" s="87">
        <f>15.54*150/150</f>
        <v>15.54</v>
      </c>
      <c r="G17" s="11">
        <f>222.84*150/150</f>
        <v>222.84</v>
      </c>
      <c r="H17" s="11">
        <f>8.21*150/150</f>
        <v>8.2100000000000009</v>
      </c>
      <c r="I17" s="11">
        <f>5.15*150/150</f>
        <v>5.15</v>
      </c>
      <c r="J17" s="12">
        <f>35.91*150/150</f>
        <v>35.909999999999997</v>
      </c>
    </row>
    <row r="18" spans="1:10" ht="15.6" x14ac:dyDescent="0.3">
      <c r="A18" s="38"/>
      <c r="B18" s="10" t="s">
        <v>15</v>
      </c>
      <c r="C18" s="88">
        <v>19</v>
      </c>
      <c r="D18" s="89" t="s">
        <v>47</v>
      </c>
      <c r="E18" s="90" t="s">
        <v>49</v>
      </c>
      <c r="F18" s="87">
        <f>51.76*50/53+16.76*40/37</f>
        <v>66.949107598164204</v>
      </c>
      <c r="G18" s="11">
        <v>151</v>
      </c>
      <c r="H18" s="11">
        <v>11.35</v>
      </c>
      <c r="I18" s="11">
        <v>12.51</v>
      </c>
      <c r="J18" s="12">
        <v>3.76</v>
      </c>
    </row>
    <row r="19" spans="1:10" ht="15.6" x14ac:dyDescent="0.3">
      <c r="A19" s="38"/>
      <c r="B19" s="10" t="s">
        <v>24</v>
      </c>
      <c r="C19" s="79">
        <v>25</v>
      </c>
      <c r="D19" s="80" t="s">
        <v>31</v>
      </c>
      <c r="E19" s="56" t="s">
        <v>30</v>
      </c>
      <c r="F19" s="87">
        <v>21.95</v>
      </c>
      <c r="G19" s="11">
        <v>136</v>
      </c>
      <c r="H19" s="11">
        <v>0.6</v>
      </c>
      <c r="I19" s="11">
        <v>0</v>
      </c>
      <c r="J19" s="12">
        <v>33</v>
      </c>
    </row>
    <row r="20" spans="1:10" ht="15.6" x14ac:dyDescent="0.3">
      <c r="A20" s="38"/>
      <c r="B20" s="39" t="s">
        <v>16</v>
      </c>
      <c r="C20" s="73" t="s">
        <v>20</v>
      </c>
      <c r="D20" s="74" t="s">
        <v>21</v>
      </c>
      <c r="E20" s="53">
        <v>34</v>
      </c>
      <c r="F20" s="87">
        <f>69.05*0.034</f>
        <v>2.3477000000000001</v>
      </c>
      <c r="G20" s="11">
        <f>42*34/20</f>
        <v>71.400000000000006</v>
      </c>
      <c r="H20" s="11">
        <f>0.98*34/20</f>
        <v>1.6659999999999999</v>
      </c>
      <c r="I20" s="11">
        <f>0.2*34/20</f>
        <v>0.34</v>
      </c>
      <c r="J20" s="12">
        <f>8.96*34/20</f>
        <v>15.232000000000003</v>
      </c>
    </row>
    <row r="21" spans="1:10" ht="15.6" x14ac:dyDescent="0.3">
      <c r="A21" s="102"/>
      <c r="B21" s="40" t="s">
        <v>17</v>
      </c>
      <c r="C21" s="73" t="s">
        <v>20</v>
      </c>
      <c r="D21" s="74" t="s">
        <v>25</v>
      </c>
      <c r="E21" s="53">
        <v>34</v>
      </c>
      <c r="F21" s="87">
        <v>3.21</v>
      </c>
      <c r="G21" s="11">
        <f>47*34/20</f>
        <v>79.900000000000006</v>
      </c>
      <c r="H21" s="11">
        <f>1.52*34/20</f>
        <v>2.5840000000000001</v>
      </c>
      <c r="I21" s="11">
        <f>0.16*34/20</f>
        <v>0.27200000000000002</v>
      </c>
      <c r="J21" s="12">
        <f>9.84*34/20</f>
        <v>16.728000000000002</v>
      </c>
    </row>
    <row r="22" spans="1:10" ht="16.2" thickBot="1" x14ac:dyDescent="0.35">
      <c r="A22" s="103"/>
      <c r="B22" s="41"/>
      <c r="C22" s="85"/>
      <c r="D22" s="85"/>
      <c r="E22" s="67"/>
      <c r="F22" s="99">
        <f>SUM(F17:F21)</f>
        <v>109.9968075981642</v>
      </c>
      <c r="G22" s="44">
        <f>SUM(G17:G21)</f>
        <v>661.14</v>
      </c>
      <c r="H22" s="44">
        <f>SUM(H17:H21)</f>
        <v>24.410000000000004</v>
      </c>
      <c r="I22" s="44">
        <f>SUM(I17:I21)</f>
        <v>18.271999999999998</v>
      </c>
      <c r="J22" s="45">
        <f>SUM(J17:J21)</f>
        <v>104.63</v>
      </c>
    </row>
    <row r="23" spans="1:10" ht="28.8" x14ac:dyDescent="0.3">
      <c r="A23" s="36"/>
      <c r="B23" s="10" t="s">
        <v>14</v>
      </c>
      <c r="C23" s="79">
        <v>49</v>
      </c>
      <c r="D23" s="80" t="s">
        <v>37</v>
      </c>
      <c r="E23" s="56" t="s">
        <v>39</v>
      </c>
      <c r="F23" s="87">
        <f>16.95*240/220+22.27*10/30</f>
        <v>25.914242424242424</v>
      </c>
      <c r="G23" s="11">
        <v>170</v>
      </c>
      <c r="H23" s="11">
        <v>8.15</v>
      </c>
      <c r="I23" s="11">
        <v>7.7</v>
      </c>
      <c r="J23" s="12">
        <v>13.12</v>
      </c>
    </row>
    <row r="24" spans="1:10" ht="15.6" x14ac:dyDescent="0.3">
      <c r="A24" s="102"/>
      <c r="B24" s="10" t="s">
        <v>46</v>
      </c>
      <c r="C24" s="88">
        <v>24</v>
      </c>
      <c r="D24" s="91" t="s">
        <v>54</v>
      </c>
      <c r="E24" s="56" t="s">
        <v>48</v>
      </c>
      <c r="F24" s="87">
        <f>15.54*150/150</f>
        <v>15.54</v>
      </c>
      <c r="G24" s="11">
        <f>222.84*150/150</f>
        <v>222.84</v>
      </c>
      <c r="H24" s="11">
        <f>8.21*150/150</f>
        <v>8.2100000000000009</v>
      </c>
      <c r="I24" s="11">
        <f>5.15*150/150</f>
        <v>5.15</v>
      </c>
      <c r="J24" s="12">
        <f>35.91*150/150</f>
        <v>35.909999999999997</v>
      </c>
    </row>
    <row r="25" spans="1:10" ht="15.6" x14ac:dyDescent="0.3">
      <c r="A25" s="38"/>
      <c r="B25" s="10" t="s">
        <v>15</v>
      </c>
      <c r="C25" s="88">
        <v>19</v>
      </c>
      <c r="D25" s="89" t="s">
        <v>47</v>
      </c>
      <c r="E25" s="90" t="s">
        <v>49</v>
      </c>
      <c r="F25" s="87">
        <f>51.76*50/53+16.76*40/37</f>
        <v>66.949107598164204</v>
      </c>
      <c r="G25" s="11">
        <v>151</v>
      </c>
      <c r="H25" s="11">
        <v>11.35</v>
      </c>
      <c r="I25" s="11">
        <v>12.51</v>
      </c>
      <c r="J25" s="12">
        <v>3.76</v>
      </c>
    </row>
    <row r="26" spans="1:10" ht="15.6" x14ac:dyDescent="0.3">
      <c r="A26" s="38"/>
      <c r="B26" s="10" t="s">
        <v>24</v>
      </c>
      <c r="C26" s="79">
        <v>25</v>
      </c>
      <c r="D26" s="80" t="s">
        <v>31</v>
      </c>
      <c r="E26" s="56" t="s">
        <v>30</v>
      </c>
      <c r="F26" s="87">
        <v>21.95</v>
      </c>
      <c r="G26" s="11">
        <v>136</v>
      </c>
      <c r="H26" s="11">
        <v>0.6</v>
      </c>
      <c r="I26" s="11">
        <v>0</v>
      </c>
      <c r="J26" s="12">
        <v>33</v>
      </c>
    </row>
    <row r="27" spans="1:10" ht="15.6" x14ac:dyDescent="0.3">
      <c r="A27" s="38"/>
      <c r="B27" s="39" t="s">
        <v>16</v>
      </c>
      <c r="C27" s="73" t="s">
        <v>20</v>
      </c>
      <c r="D27" s="74" t="s">
        <v>21</v>
      </c>
      <c r="E27" s="53">
        <v>28</v>
      </c>
      <c r="F27" s="87">
        <f>69.05*0.028</f>
        <v>1.9334</v>
      </c>
      <c r="G27" s="11">
        <f>42*28/20</f>
        <v>58.8</v>
      </c>
      <c r="H27" s="11">
        <f>0.98*28/20</f>
        <v>1.3719999999999999</v>
      </c>
      <c r="I27" s="11">
        <f>0.2*28/20</f>
        <v>0.28000000000000003</v>
      </c>
      <c r="J27" s="12">
        <f>8.96*28/20</f>
        <v>12.544</v>
      </c>
    </row>
    <row r="28" spans="1:10" ht="15.6" x14ac:dyDescent="0.3">
      <c r="A28" s="102"/>
      <c r="B28" s="40" t="s">
        <v>17</v>
      </c>
      <c r="C28" s="73" t="s">
        <v>20</v>
      </c>
      <c r="D28" s="74" t="s">
        <v>25</v>
      </c>
      <c r="E28" s="53">
        <v>29</v>
      </c>
      <c r="F28" s="87">
        <v>2.71</v>
      </c>
      <c r="G28" s="11">
        <f>47*29/20</f>
        <v>68.150000000000006</v>
      </c>
      <c r="H28" s="11">
        <f>1.52*29/20</f>
        <v>2.2039999999999997</v>
      </c>
      <c r="I28" s="11">
        <f>0.16*29/20</f>
        <v>0.23199999999999998</v>
      </c>
      <c r="J28" s="12">
        <f>9.84*29/20</f>
        <v>14.268000000000001</v>
      </c>
    </row>
    <row r="29" spans="1:10" ht="16.2" thickBot="1" x14ac:dyDescent="0.35">
      <c r="A29" s="103"/>
      <c r="B29" s="41"/>
      <c r="C29" s="42"/>
      <c r="D29" s="42"/>
      <c r="E29" s="43"/>
      <c r="F29" s="100">
        <f>SUM(F23:F28)</f>
        <v>134.99675002240664</v>
      </c>
      <c r="G29" s="44">
        <f>SUM(G23:G28)</f>
        <v>806.79</v>
      </c>
      <c r="H29" s="44">
        <f>SUM(H23:H28)</f>
        <v>31.886000000000003</v>
      </c>
      <c r="I29" s="44">
        <f>SUM(I23:I28)</f>
        <v>25.872</v>
      </c>
      <c r="J29" s="45">
        <f>SUM(J23:J28)</f>
        <v>112.60199999999999</v>
      </c>
    </row>
    <row r="30" spans="1:10" customFormat="1" ht="21.6" customHeight="1" x14ac:dyDescent="0.3">
      <c r="A30" s="25" t="s">
        <v>56</v>
      </c>
      <c r="E30" s="18"/>
      <c r="F30" s="18"/>
    </row>
    <row r="31" spans="1:10" ht="21.6" customHeight="1" x14ac:dyDescent="0.3">
      <c r="A31" s="25" t="s">
        <v>27</v>
      </c>
      <c r="B31"/>
      <c r="C31"/>
      <c r="D31"/>
    </row>
    <row r="32" spans="1:10" customFormat="1" x14ac:dyDescent="0.3">
      <c r="E32" s="18"/>
      <c r="F32" s="18"/>
    </row>
    <row r="33" spans="5:6" customFormat="1" x14ac:dyDescent="0.3">
      <c r="E33" s="18"/>
      <c r="F33" s="18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91" orientation="portrait" r:id="rId1"/>
  <ignoredErrors>
    <ignoredError sqref="G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Krapivina Mariya</cp:lastModifiedBy>
  <cp:lastPrinted>2025-02-24T04:55:02Z</cp:lastPrinted>
  <dcterms:created xsi:type="dcterms:W3CDTF">2015-06-05T18:19:34Z</dcterms:created>
  <dcterms:modified xsi:type="dcterms:W3CDTF">2025-04-24T04:48:22Z</dcterms:modified>
</cp:coreProperties>
</file>