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Mi\Downloads\"/>
    </mc:Choice>
  </mc:AlternateContent>
  <xr:revisionPtr revIDLastSave="0" documentId="13_ncr:1_{C9F00F40-1E0F-46C4-A7D3-BEAE010F02E3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бесплатно" sheetId="1" r:id="rId1"/>
    <sheet name="платн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" l="1"/>
  <c r="I28" i="2"/>
  <c r="H28" i="2"/>
  <c r="G28" i="2"/>
  <c r="J27" i="2"/>
  <c r="I27" i="2"/>
  <c r="H27" i="2"/>
  <c r="G27" i="2"/>
  <c r="F28" i="2"/>
  <c r="F23" i="2"/>
  <c r="J11" i="2"/>
  <c r="I11" i="2"/>
  <c r="H11" i="2"/>
  <c r="G11" i="2"/>
  <c r="F11" i="2"/>
  <c r="F12" i="2"/>
  <c r="J9" i="2" l="1"/>
  <c r="I9" i="2"/>
  <c r="H9" i="2"/>
  <c r="G9" i="2"/>
  <c r="J8" i="2"/>
  <c r="I8" i="2"/>
  <c r="H8" i="2"/>
  <c r="G8" i="2"/>
  <c r="F9" i="2"/>
  <c r="F4" i="2"/>
  <c r="J42" i="1"/>
  <c r="I42" i="1"/>
  <c r="H42" i="1"/>
  <c r="G42" i="1"/>
  <c r="J41" i="1"/>
  <c r="I41" i="1"/>
  <c r="H41" i="1"/>
  <c r="G41" i="1"/>
  <c r="J21" i="1"/>
  <c r="I21" i="1"/>
  <c r="H21" i="1"/>
  <c r="G21" i="1"/>
  <c r="J20" i="1"/>
  <c r="I20" i="1"/>
  <c r="H20" i="1"/>
  <c r="G20" i="1"/>
  <c r="F21" i="1"/>
  <c r="F41" i="1"/>
  <c r="F38" i="1"/>
  <c r="F37" i="1"/>
  <c r="J30" i="1"/>
  <c r="I30" i="1"/>
  <c r="H30" i="1"/>
  <c r="G30" i="1"/>
  <c r="J29" i="1"/>
  <c r="I29" i="1"/>
  <c r="H29" i="1"/>
  <c r="G29" i="1"/>
  <c r="F30" i="1"/>
  <c r="F25" i="1"/>
  <c r="F17" i="1" l="1"/>
  <c r="F16" i="1"/>
  <c r="J9" i="1"/>
  <c r="I9" i="1"/>
  <c r="H9" i="1"/>
  <c r="G9" i="1"/>
  <c r="J8" i="1"/>
  <c r="I8" i="1"/>
  <c r="H8" i="1"/>
  <c r="G8" i="1"/>
  <c r="F9" i="1"/>
  <c r="F8" i="1"/>
  <c r="F4" i="1"/>
  <c r="J39" i="1" l="1"/>
  <c r="I39" i="1"/>
  <c r="H39" i="1"/>
  <c r="G39" i="1"/>
  <c r="F39" i="1"/>
  <c r="J38" i="1"/>
  <c r="I38" i="1"/>
  <c r="H38" i="1"/>
  <c r="G38" i="1"/>
  <c r="F43" i="1"/>
  <c r="J36" i="1"/>
  <c r="J43" i="1" s="1"/>
  <c r="I36" i="1"/>
  <c r="I43" i="1" s="1"/>
  <c r="H36" i="1"/>
  <c r="H43" i="1" s="1"/>
  <c r="G36" i="1"/>
  <c r="G43" i="1" s="1"/>
  <c r="F24" i="2" l="1"/>
  <c r="G24" i="2"/>
  <c r="H24" i="2"/>
  <c r="H29" i="2" s="1"/>
  <c r="I24" i="2"/>
  <c r="I29" i="2" s="1"/>
  <c r="J24" i="2"/>
  <c r="F29" i="2"/>
  <c r="G29" i="2"/>
  <c r="J29" i="2"/>
  <c r="J21" i="2"/>
  <c r="I21" i="2"/>
  <c r="H21" i="2"/>
  <c r="G21" i="2"/>
  <c r="J20" i="2"/>
  <c r="I20" i="2"/>
  <c r="H20" i="2"/>
  <c r="G20" i="2"/>
  <c r="F21" i="2"/>
  <c r="F19" i="2"/>
  <c r="F6" i="2"/>
  <c r="J26" i="1"/>
  <c r="I26" i="1"/>
  <c r="H26" i="1"/>
  <c r="G26" i="1"/>
  <c r="F26" i="1"/>
  <c r="F27" i="1"/>
  <c r="F15" i="1"/>
  <c r="F6" i="1"/>
  <c r="F16" i="2" l="1"/>
  <c r="J12" i="2"/>
  <c r="I12" i="2"/>
  <c r="H12" i="2"/>
  <c r="G12" i="2"/>
  <c r="J33" i="1"/>
  <c r="I33" i="1"/>
  <c r="H33" i="1"/>
  <c r="G33" i="1"/>
  <c r="J15" i="1"/>
  <c r="I15" i="1"/>
  <c r="H15" i="1"/>
  <c r="G15" i="1"/>
  <c r="F18" i="1"/>
  <c r="J12" i="1"/>
  <c r="I12" i="1"/>
  <c r="H12" i="1"/>
  <c r="G12" i="1"/>
  <c r="J19" i="2" l="1"/>
  <c r="I19" i="2"/>
  <c r="H19" i="2"/>
  <c r="G19" i="2"/>
  <c r="F15" i="2"/>
  <c r="J18" i="1"/>
  <c r="I18" i="1"/>
  <c r="H18" i="1"/>
  <c r="G18" i="1"/>
  <c r="J16" i="2" l="1"/>
  <c r="I16" i="2"/>
  <c r="H16" i="2"/>
  <c r="G16" i="2"/>
  <c r="J14" i="2" l="1"/>
  <c r="I14" i="2"/>
  <c r="H14" i="2"/>
  <c r="G14" i="2"/>
  <c r="F34" i="1"/>
  <c r="J17" i="1"/>
  <c r="I17" i="1"/>
  <c r="H17" i="1"/>
  <c r="G17" i="1"/>
  <c r="F13" i="1"/>
  <c r="J15" i="2" l="1"/>
  <c r="I15" i="2"/>
  <c r="H15" i="2"/>
  <c r="G15" i="2" l="1"/>
  <c r="F35" i="1" l="1"/>
  <c r="J13" i="1"/>
  <c r="J14" i="1" s="1"/>
  <c r="I13" i="1"/>
  <c r="H13" i="1"/>
  <c r="G13" i="1"/>
  <c r="J34" i="1"/>
  <c r="I34" i="1"/>
  <c r="H34" i="1"/>
  <c r="G34" i="1"/>
  <c r="G35" i="1" s="1"/>
  <c r="G14" i="1"/>
  <c r="H35" i="1"/>
  <c r="J5" i="2"/>
  <c r="J10" i="2" s="1"/>
  <c r="I5" i="2"/>
  <c r="I10" i="2" s="1"/>
  <c r="H5" i="2"/>
  <c r="G5" i="2"/>
  <c r="H31" i="1"/>
  <c r="J5" i="1"/>
  <c r="I5" i="1"/>
  <c r="H5" i="1"/>
  <c r="G5" i="1"/>
  <c r="G31" i="1"/>
  <c r="I35" i="1"/>
  <c r="I14" i="1"/>
  <c r="H14" i="1"/>
  <c r="F22" i="2" l="1"/>
  <c r="J35" i="1"/>
  <c r="F31" i="1"/>
  <c r="F22" i="1"/>
  <c r="F14" i="1"/>
  <c r="F10" i="1"/>
  <c r="F10" i="2"/>
  <c r="J31" i="1"/>
  <c r="H10" i="2"/>
  <c r="G10" i="2"/>
  <c r="I31" i="1"/>
  <c r="G22" i="2" l="1"/>
  <c r="J22" i="2" l="1"/>
  <c r="I22" i="2"/>
  <c r="H22" i="2"/>
  <c r="G22" i="1" l="1"/>
  <c r="J10" i="1" l="1"/>
  <c r="H10" i="1"/>
  <c r="G10" i="1"/>
  <c r="I10" i="1"/>
  <c r="J22" i="1"/>
  <c r="I22" i="1"/>
  <c r="H22" i="1"/>
</calcChain>
</file>

<file path=xl/sharedStrings.xml><?xml version="1.0" encoding="utf-8"?>
<sst xmlns="http://schemas.openxmlformats.org/spreadsheetml/2006/main" count="218" uniqueCount="73">
  <si>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</si>
  <si>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</si>
  <si>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</si>
  <si>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</si>
  <si>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</si>
  <si>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</si>
  <si>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</si>
  <si>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</si>
  <si>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</si>
  <si>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</si>
  <si>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</si>
  <si>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</si>
  <si>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</si>
  <si>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</si>
  <si>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</si>
  <si>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</si>
  <si>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</si>
  <si>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</si>
  <si>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</si>
  <si>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</si>
  <si>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</si>
  <si>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</si>
  <si>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добавка</t>
  </si>
  <si>
    <t>Полдник</t>
  </si>
  <si>
    <t>напиток</t>
  </si>
  <si>
    <t>Хлеб пшеничный</t>
  </si>
  <si>
    <t>корп</t>
  </si>
  <si>
    <t>Зав.производством _________________________________</t>
  </si>
  <si>
    <t>За наличный расчет</t>
  </si>
  <si>
    <t>200</t>
  </si>
  <si>
    <t>Батон</t>
  </si>
  <si>
    <t>гарнир</t>
  </si>
  <si>
    <t>Пюре картофельное</t>
  </si>
  <si>
    <t>Плов из птицы</t>
  </si>
  <si>
    <t>Чай с сахаром</t>
  </si>
  <si>
    <t>Молоко кипяченое</t>
  </si>
  <si>
    <t>Компот из смеси сухофруктов</t>
  </si>
  <si>
    <t>Яблоко</t>
  </si>
  <si>
    <t>6-11 лет</t>
  </si>
  <si>
    <t>12-18 лет</t>
  </si>
  <si>
    <t>Кукуруза отварная</t>
  </si>
  <si>
    <t>Борщ с капустой и картофелем со сметаной и мясом птицы</t>
  </si>
  <si>
    <t>100</t>
  </si>
  <si>
    <t>Вафли</t>
  </si>
  <si>
    <t>День 3</t>
  </si>
  <si>
    <t>50</t>
  </si>
  <si>
    <t>80</t>
  </si>
  <si>
    <t>160</t>
  </si>
  <si>
    <t>150</t>
  </si>
  <si>
    <t>Икра кабачковая (пром.производства)</t>
  </si>
  <si>
    <t>Рыба, тушеная в томате с овощами</t>
  </si>
  <si>
    <t>Бухгалтер-калькулятор _______________________________</t>
  </si>
  <si>
    <t>Котлета мясная</t>
  </si>
  <si>
    <t>90</t>
  </si>
  <si>
    <t>230/5/15</t>
  </si>
  <si>
    <t>45/45</t>
  </si>
  <si>
    <t>235/5/10</t>
  </si>
  <si>
    <t>60</t>
  </si>
  <si>
    <t>179</t>
  </si>
  <si>
    <t>38</t>
  </si>
  <si>
    <t>50/50</t>
  </si>
  <si>
    <t>39</t>
  </si>
  <si>
    <t>23</t>
  </si>
  <si>
    <t>22</t>
  </si>
  <si>
    <t>21</t>
  </si>
  <si>
    <t>36</t>
  </si>
  <si>
    <t>20</t>
  </si>
  <si>
    <t>37</t>
  </si>
  <si>
    <t>31</t>
  </si>
  <si>
    <t>30</t>
  </si>
  <si>
    <t>180</t>
  </si>
  <si>
    <t>40</t>
  </si>
  <si>
    <t>МБОУ Элитовская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</si>
</sst>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5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14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4" xfId="0" applyFont="1" applyBorder="1"/>
    <xf numFmtId="0" fontId="5" fillId="0" borderId="14" xfId="0" applyFont="1" applyBorder="1" applyAlignment="1">
      <alignment horizontal="center"/>
    </xf>
    <xf numFmtId="2" fontId="3" fillId="0" borderId="14" xfId="0" applyNumberFormat="1" applyFont="1" applyBorder="1"/>
    <xf numFmtId="2" fontId="3" fillId="0" borderId="15" xfId="0" applyNumberFormat="1" applyFont="1" applyBorder="1"/>
    <xf numFmtId="0" fontId="0" fillId="0" borderId="14" xfId="0" applyBorder="1"/>
    <xf numFmtId="2" fontId="0" fillId="0" borderId="14" xfId="0" applyNumberFormat="1" applyBorder="1"/>
    <xf numFmtId="2" fontId="0" fillId="0" borderId="15" xfId="0" applyNumberFormat="1" applyBorder="1"/>
    <xf numFmtId="0" fontId="6" fillId="0" borderId="9" xfId="0" applyFont="1" applyBorder="1" applyAlignment="1">
      <alignment horizontal="center" vertical="center"/>
    </xf>
    <xf numFmtId="49" fontId="6" fillId="0" borderId="5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5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6" fillId="0" borderId="12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1" fontId="6" fillId="0" borderId="14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1" fontId="6" fillId="0" borderId="16" xfId="0" applyNumberFormat="1" applyFont="1" applyBorder="1" applyAlignment="1" applyProtection="1">
      <alignment horizontal="center"/>
      <protection locked="0"/>
    </xf>
    <xf numFmtId="2" fontId="0" fillId="0" borderId="16" xfId="0" applyNumberFormat="1" applyBorder="1" applyProtection="1">
      <protection locked="0"/>
    </xf>
    <xf numFmtId="0" fontId="8" fillId="0" borderId="14" xfId="0" applyFont="1" applyBorder="1" applyAlignment="1">
      <alignment horizontal="center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6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49" fontId="6" fillId="0" borderId="9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0" fillId="0" borderId="17" xfId="0" applyNumberFormat="1" applyBorder="1" applyProtection="1">
      <protection locked="0"/>
    </xf>
    <xf numFmtId="2" fontId="9" fillId="0" borderId="14" xfId="0" applyNumberFormat="1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wrapText="1"/>
      <protection locked="0"/>
    </xf>
    <xf numFmtId="49" fontId="0" fillId="0" borderId="0" xfId="0" applyNumberFormat="1"/>
    <xf numFmtId="0" fontId="3" fillId="0" borderId="19" xfId="0" applyFont="1" applyBorder="1"/>
    <xf numFmtId="0" fontId="3" fillId="0" borderId="3" xfId="0" applyFont="1" applyBorder="1"/>
    <xf numFmtId="0" fontId="3" fillId="0" borderId="20" xfId="0" applyFont="1" applyBorder="1" applyProtection="1">
      <protection locked="0"/>
    </xf>
    <xf numFmtId="0" fontId="3" fillId="0" borderId="20" xfId="0" applyFont="1" applyBorder="1"/>
    <xf numFmtId="0" fontId="0" fillId="0" borderId="3" xfId="0" applyBorder="1"/>
    <xf numFmtId="0" fontId="0" fillId="0" borderId="21" xfId="0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3" fillId="0" borderId="25" xfId="0" applyFont="1" applyBorder="1" applyProtection="1">
      <protection locked="0"/>
    </xf>
    <xf numFmtId="0" fontId="3" fillId="0" borderId="22" xfId="0" applyFont="1" applyBorder="1"/>
    <xf numFmtId="0" fontId="3" fillId="0" borderId="23" xfId="0" applyFont="1" applyBorder="1"/>
    <xf numFmtId="0" fontId="0" fillId="0" borderId="25" xfId="0" applyBorder="1" applyProtection="1">
      <protection locked="0"/>
    </xf>
    <xf numFmtId="0" fontId="0" fillId="0" borderId="19" xfId="0" applyBorder="1"/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3" fillId="0" borderId="0" xfId="0" applyNumberFormat="1" applyFont="1" applyAlignment="1" applyProtection="1">
      <alignment horizontal="left"/>
      <protection locked="0"/>
    </xf>
    <xf numFmtId="0" fontId="0" fillId="0" borderId="27" xfId="0" applyBorder="1"/>
    <xf numFmtId="0" fontId="3" fillId="0" borderId="28" xfId="0" applyFont="1" applyBorder="1" applyProtection="1">
      <protection locked="0"/>
    </xf>
    <xf numFmtId="0" fontId="0" fillId="0" borderId="28" xfId="0" applyBorder="1"/>
    <xf numFmtId="0" fontId="3" fillId="0" borderId="29" xfId="0" applyFont="1" applyBorder="1" applyProtection="1">
      <protection locked="0"/>
    </xf>
    <xf numFmtId="0" fontId="3" fillId="0" borderId="24" xfId="0" applyFont="1" applyBorder="1"/>
    <xf numFmtId="0" fontId="3" fillId="0" borderId="0" xfId="0" applyFont="1" applyBorder="1" applyAlignment="1"/>
    <xf numFmtId="0" fontId="0" fillId="0" borderId="0" xfId="0" applyBorder="1" applyAlignment="1"/>
    <xf numFmtId="0" fontId="0" fillId="0" borderId="2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L45"/>
  <sheetViews>
    <sheetView zoomScaleNormal="100" workbookViewId="0">
      <selection activeCell="I1" sqref="I1:I1048576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30.33203125" customWidth="1"/>
    <col min="5" max="5" width="9.6640625" style="12" customWidth="1"/>
    <col min="6" max="6" width="7.5546875" style="12" bestFit="1" customWidth="1"/>
    <col min="7" max="7" width="8.44140625" customWidth="1"/>
    <col min="8" max="8" width="6.77734375" bestFit="1" customWidth="1"/>
    <col min="9" max="9" width="10.88671875" customWidth="1"/>
    <col min="10" max="10" width="9.33203125" bestFit="1" customWidth="1"/>
  </cols>
  <sheetData>
    <row r="1" spans="1:12" ht="28.8" customHeight="1" x14ac:dyDescent="0.3">
      <c r="A1" t="s">
        <v>0</v>
      </c>
      <c r="B1" s="106" t="s">
        <v>72</v>
      </c>
      <c r="C1" s="107"/>
      <c r="D1" s="108"/>
      <c r="E1" s="12" t="s">
        <v>26</v>
      </c>
      <c r="F1" s="11"/>
      <c r="H1" s="105" t="s">
        <v>44</v>
      </c>
      <c r="I1" s="10">
        <v>45776</v>
      </c>
    </row>
    <row r="2" spans="1:12" ht="15" thickBot="1" x14ac:dyDescent="0.35">
      <c r="B2" s="1" t="s">
        <v>38</v>
      </c>
    </row>
    <row r="3" spans="1:12" s="17" customFormat="1" ht="29.4" thickBot="1" x14ac:dyDescent="0.35">
      <c r="A3" s="97" t="s">
        <v>1</v>
      </c>
      <c r="B3" s="96" t="s">
        <v>2</v>
      </c>
      <c r="C3" s="14" t="s">
        <v>18</v>
      </c>
      <c r="D3" s="14" t="s">
        <v>3</v>
      </c>
      <c r="E3" s="36" t="s">
        <v>19</v>
      </c>
      <c r="F3" s="36" t="s">
        <v>4</v>
      </c>
      <c r="G3" s="15" t="s">
        <v>5</v>
      </c>
      <c r="H3" s="14" t="s">
        <v>6</v>
      </c>
      <c r="I3" s="14" t="s">
        <v>7</v>
      </c>
      <c r="J3" s="16" t="s">
        <v>8</v>
      </c>
    </row>
    <row r="4" spans="1:12" ht="15.6" x14ac:dyDescent="0.3">
      <c r="A4" s="85" t="s">
        <v>9</v>
      </c>
      <c r="B4" s="79" t="s">
        <v>10</v>
      </c>
      <c r="C4" s="45">
        <v>34</v>
      </c>
      <c r="D4" s="46" t="s">
        <v>33</v>
      </c>
      <c r="E4" s="72" t="s">
        <v>47</v>
      </c>
      <c r="F4" s="73">
        <f>39.44*32/54+7.94*128/106</f>
        <v>32.959776380153741</v>
      </c>
      <c r="G4" s="4">
        <v>291.33</v>
      </c>
      <c r="H4" s="4">
        <v>13.7</v>
      </c>
      <c r="I4" s="4">
        <v>14.92</v>
      </c>
      <c r="J4" s="5">
        <v>25.84</v>
      </c>
    </row>
    <row r="5" spans="1:12" ht="15.6" x14ac:dyDescent="0.3">
      <c r="A5" s="86"/>
      <c r="B5" s="80" t="s">
        <v>22</v>
      </c>
      <c r="C5" s="47">
        <v>1</v>
      </c>
      <c r="D5" s="48" t="s">
        <v>40</v>
      </c>
      <c r="E5" s="38">
        <v>60</v>
      </c>
      <c r="F5" s="63">
        <v>16.73</v>
      </c>
      <c r="G5" s="6">
        <f>24*60/60</f>
        <v>24</v>
      </c>
      <c r="H5" s="6">
        <f>1.86*60/60</f>
        <v>1.86</v>
      </c>
      <c r="I5" s="6">
        <f>0.12*60/60</f>
        <v>0.11999999999999998</v>
      </c>
      <c r="J5" s="7">
        <f>3.9*60/60</f>
        <v>3.9</v>
      </c>
    </row>
    <row r="6" spans="1:12" ht="15.6" x14ac:dyDescent="0.3">
      <c r="A6" s="86"/>
      <c r="B6" s="81" t="s">
        <v>22</v>
      </c>
      <c r="C6" s="47" t="s">
        <v>20</v>
      </c>
      <c r="D6" s="48" t="s">
        <v>43</v>
      </c>
      <c r="E6" s="38">
        <v>40</v>
      </c>
      <c r="F6" s="63">
        <f>275.55*0.04</f>
        <v>11.022</v>
      </c>
      <c r="G6" s="6">
        <v>96</v>
      </c>
      <c r="H6" s="6">
        <v>3.04</v>
      </c>
      <c r="I6" s="6">
        <v>0.32</v>
      </c>
      <c r="J6" s="7">
        <v>19.440000000000001</v>
      </c>
    </row>
    <row r="7" spans="1:12" ht="15.6" x14ac:dyDescent="0.3">
      <c r="A7" s="86"/>
      <c r="B7" s="82" t="s">
        <v>11</v>
      </c>
      <c r="C7" s="47">
        <v>57</v>
      </c>
      <c r="D7" s="48" t="s">
        <v>34</v>
      </c>
      <c r="E7" s="38">
        <v>200</v>
      </c>
      <c r="F7" s="63">
        <v>1.0900000000000001</v>
      </c>
      <c r="G7" s="6">
        <v>41</v>
      </c>
      <c r="H7" s="6">
        <v>0</v>
      </c>
      <c r="I7" s="6">
        <v>0</v>
      </c>
      <c r="J7" s="7">
        <v>10.01</v>
      </c>
    </row>
    <row r="8" spans="1:12" ht="15.6" x14ac:dyDescent="0.3">
      <c r="A8" s="86"/>
      <c r="B8" s="83" t="s">
        <v>17</v>
      </c>
      <c r="C8" s="51" t="s">
        <v>20</v>
      </c>
      <c r="D8" s="52" t="s">
        <v>25</v>
      </c>
      <c r="E8" s="38">
        <v>20</v>
      </c>
      <c r="F8" s="63">
        <f>78.6*0.02</f>
        <v>1.5719999999999998</v>
      </c>
      <c r="G8" s="6">
        <f>47*20/20</f>
        <v>47</v>
      </c>
      <c r="H8" s="6">
        <f>1.52*20/20</f>
        <v>1.52</v>
      </c>
      <c r="I8" s="6">
        <f>0.16*20/20</f>
        <v>0.16</v>
      </c>
      <c r="J8" s="7">
        <f>9.84*20/20</f>
        <v>9.84</v>
      </c>
    </row>
    <row r="9" spans="1:12" ht="15.6" x14ac:dyDescent="0.3">
      <c r="A9" s="86"/>
      <c r="B9" s="83" t="s">
        <v>16</v>
      </c>
      <c r="C9" s="51" t="s">
        <v>20</v>
      </c>
      <c r="D9" s="52" t="s">
        <v>21</v>
      </c>
      <c r="E9" s="40" t="s">
        <v>66</v>
      </c>
      <c r="F9" s="63">
        <f>57.54*0.02</f>
        <v>1.1508</v>
      </c>
      <c r="G9" s="6">
        <f>42*20/20</f>
        <v>42</v>
      </c>
      <c r="H9" s="6">
        <f>0.98*20/20</f>
        <v>0.98000000000000009</v>
      </c>
      <c r="I9" s="6">
        <f>0.2*20/20</f>
        <v>0.2</v>
      </c>
      <c r="J9" s="7">
        <f>8.96*20/20</f>
        <v>8.9600000000000009</v>
      </c>
    </row>
    <row r="10" spans="1:12" ht="16.2" thickBot="1" x14ac:dyDescent="0.35">
      <c r="A10" s="87"/>
      <c r="B10" s="84"/>
      <c r="C10" s="58"/>
      <c r="D10" s="59"/>
      <c r="E10" s="60"/>
      <c r="F10" s="67">
        <f>SUM(F4:F9)</f>
        <v>64.524576380153746</v>
      </c>
      <c r="G10" s="61">
        <f>SUM(G4:G9)</f>
        <v>541.32999999999993</v>
      </c>
      <c r="H10" s="61">
        <f>SUM(H4:H9)</f>
        <v>21.099999999999998</v>
      </c>
      <c r="I10" s="61">
        <f>SUM(I4:I9)</f>
        <v>15.719999999999999</v>
      </c>
      <c r="J10" s="74">
        <f>SUM(J4:J9)</f>
        <v>77.990000000000009</v>
      </c>
    </row>
    <row r="11" spans="1:12" ht="15.6" x14ac:dyDescent="0.3">
      <c r="A11" s="85" t="s">
        <v>23</v>
      </c>
      <c r="B11" s="80" t="s">
        <v>24</v>
      </c>
      <c r="C11" s="49">
        <v>8</v>
      </c>
      <c r="D11" s="50" t="s">
        <v>35</v>
      </c>
      <c r="E11" s="39">
        <v>200</v>
      </c>
      <c r="F11" s="66">
        <v>18.12</v>
      </c>
      <c r="G11" s="4">
        <v>124</v>
      </c>
      <c r="H11" s="4">
        <v>5.8</v>
      </c>
      <c r="I11" s="4">
        <v>7</v>
      </c>
      <c r="J11" s="5">
        <v>9.4</v>
      </c>
    </row>
    <row r="12" spans="1:12" ht="15.6" x14ac:dyDescent="0.3">
      <c r="A12" s="86"/>
      <c r="B12" s="81" t="s">
        <v>22</v>
      </c>
      <c r="C12" s="51" t="s">
        <v>20</v>
      </c>
      <c r="D12" s="52" t="s">
        <v>37</v>
      </c>
      <c r="E12" s="40" t="s">
        <v>48</v>
      </c>
      <c r="F12" s="63">
        <v>25.19</v>
      </c>
      <c r="G12" s="6">
        <f>47*150/100</f>
        <v>70.5</v>
      </c>
      <c r="H12" s="6">
        <f>0.4*150/100</f>
        <v>0.6</v>
      </c>
      <c r="I12" s="6">
        <f>0.4*150/100</f>
        <v>0.6</v>
      </c>
      <c r="J12" s="7">
        <f>9.8*150/100</f>
        <v>14.7</v>
      </c>
    </row>
    <row r="13" spans="1:12" ht="15.6" x14ac:dyDescent="0.3">
      <c r="A13" s="86"/>
      <c r="B13" s="81" t="s">
        <v>22</v>
      </c>
      <c r="C13" s="53" t="s">
        <v>20</v>
      </c>
      <c r="D13" s="54" t="s">
        <v>30</v>
      </c>
      <c r="E13" s="41" t="s">
        <v>45</v>
      </c>
      <c r="F13" s="69">
        <f>101.5*0.05</f>
        <v>5.0750000000000002</v>
      </c>
      <c r="G13" s="8">
        <f>131*50/50</f>
        <v>131</v>
      </c>
      <c r="H13" s="8">
        <f>3.75*50/50</f>
        <v>3.75</v>
      </c>
      <c r="I13" s="8">
        <f>1.45*50/50</f>
        <v>1.45</v>
      </c>
      <c r="J13" s="9">
        <f>25.7*50/50</f>
        <v>25.7</v>
      </c>
    </row>
    <row r="14" spans="1:12" ht="16.2" thickBot="1" x14ac:dyDescent="0.35">
      <c r="A14" s="87"/>
      <c r="B14" s="92"/>
      <c r="C14" s="55"/>
      <c r="D14" s="56"/>
      <c r="E14" s="57"/>
      <c r="F14" s="68">
        <f>SUM(F11:F13)</f>
        <v>48.385000000000005</v>
      </c>
      <c r="G14" s="64">
        <f>SUM(G11:G13)</f>
        <v>325.5</v>
      </c>
      <c r="H14" s="64">
        <f>SUM(H11:H13)</f>
        <v>10.149999999999999</v>
      </c>
      <c r="I14" s="64">
        <f>SUM(I11:I13)</f>
        <v>9.0499999999999989</v>
      </c>
      <c r="J14" s="65">
        <f>SUM(J11:J13)</f>
        <v>49.8</v>
      </c>
    </row>
    <row r="15" spans="1:12" ht="28.8" x14ac:dyDescent="0.3">
      <c r="A15" s="85" t="s">
        <v>12</v>
      </c>
      <c r="B15" s="93" t="s">
        <v>13</v>
      </c>
      <c r="C15" s="49">
        <v>27</v>
      </c>
      <c r="D15" s="50" t="s">
        <v>49</v>
      </c>
      <c r="E15" s="37" t="s">
        <v>57</v>
      </c>
      <c r="F15" s="66">
        <f>9.15/60*60</f>
        <v>9.15</v>
      </c>
      <c r="G15" s="4">
        <f>47*60/60</f>
        <v>47</v>
      </c>
      <c r="H15" s="4">
        <f>0.72*60/60</f>
        <v>0.72</v>
      </c>
      <c r="I15" s="4">
        <f>2.82*60/60</f>
        <v>2.82</v>
      </c>
      <c r="J15" s="5">
        <f>4.62*60/60</f>
        <v>4.62</v>
      </c>
    </row>
    <row r="16" spans="1:12" ht="28.8" x14ac:dyDescent="0.3">
      <c r="A16" s="86"/>
      <c r="B16" s="83" t="s">
        <v>14</v>
      </c>
      <c r="C16" s="51">
        <v>22</v>
      </c>
      <c r="D16" s="52" t="s">
        <v>41</v>
      </c>
      <c r="E16" s="40" t="s">
        <v>54</v>
      </c>
      <c r="F16" s="63">
        <f>13*230/245+1.92+5.88*1.5</f>
        <v>22.944081632653059</v>
      </c>
      <c r="G16" s="6">
        <v>113</v>
      </c>
      <c r="H16" s="6">
        <v>1.8</v>
      </c>
      <c r="I16" s="6">
        <v>6.09</v>
      </c>
      <c r="J16" s="7">
        <v>9.73</v>
      </c>
      <c r="L16" s="78"/>
    </row>
    <row r="17" spans="1:10" ht="28.8" x14ac:dyDescent="0.3">
      <c r="A17" s="86"/>
      <c r="B17" s="83" t="s">
        <v>15</v>
      </c>
      <c r="C17" s="51">
        <v>51</v>
      </c>
      <c r="D17" s="52" t="s">
        <v>50</v>
      </c>
      <c r="E17" s="40" t="s">
        <v>55</v>
      </c>
      <c r="F17" s="63">
        <f>26.61*45/45+4.67*45/45</f>
        <v>31.28</v>
      </c>
      <c r="G17" s="6">
        <f>94*90/90</f>
        <v>94</v>
      </c>
      <c r="H17" s="6">
        <f>8.67*90/90</f>
        <v>8.67</v>
      </c>
      <c r="I17" s="6">
        <f>4.47*90/90</f>
        <v>4.47</v>
      </c>
      <c r="J17" s="7">
        <f>4.67*90/90</f>
        <v>4.67</v>
      </c>
    </row>
    <row r="18" spans="1:10" ht="15.6" x14ac:dyDescent="0.3">
      <c r="A18" s="86"/>
      <c r="B18" s="83" t="s">
        <v>31</v>
      </c>
      <c r="C18" s="51">
        <v>7</v>
      </c>
      <c r="D18" s="52" t="s">
        <v>32</v>
      </c>
      <c r="E18" s="40" t="s">
        <v>47</v>
      </c>
      <c r="F18" s="63">
        <f>28.46*160/180</f>
        <v>25.297777777777778</v>
      </c>
      <c r="G18" s="6">
        <f>163*160/180</f>
        <v>144.88888888888889</v>
      </c>
      <c r="H18" s="6">
        <f>3.75*160/180</f>
        <v>3.3333333333333335</v>
      </c>
      <c r="I18" s="6">
        <f>5.47*160/180</f>
        <v>4.862222222222222</v>
      </c>
      <c r="J18" s="7">
        <f>21.98*160/180</f>
        <v>19.53777777777778</v>
      </c>
    </row>
    <row r="19" spans="1:10" ht="15.6" x14ac:dyDescent="0.3">
      <c r="A19" s="86"/>
      <c r="B19" s="83" t="s">
        <v>24</v>
      </c>
      <c r="C19" s="51">
        <v>17</v>
      </c>
      <c r="D19" s="52" t="s">
        <v>36</v>
      </c>
      <c r="E19" s="40">
        <v>200</v>
      </c>
      <c r="F19" s="63">
        <v>3.19</v>
      </c>
      <c r="G19" s="6">
        <v>80</v>
      </c>
      <c r="H19" s="6">
        <v>0.44</v>
      </c>
      <c r="I19" s="6">
        <v>0</v>
      </c>
      <c r="J19" s="7">
        <v>18.899999999999999</v>
      </c>
    </row>
    <row r="20" spans="1:10" ht="15.6" x14ac:dyDescent="0.3">
      <c r="A20" s="86"/>
      <c r="B20" s="83" t="s">
        <v>17</v>
      </c>
      <c r="C20" s="51" t="s">
        <v>20</v>
      </c>
      <c r="D20" s="52" t="s">
        <v>25</v>
      </c>
      <c r="E20" s="40" t="s">
        <v>67</v>
      </c>
      <c r="F20" s="63">
        <v>2.86</v>
      </c>
      <c r="G20" s="6">
        <f>47*37/20</f>
        <v>86.95</v>
      </c>
      <c r="H20" s="6">
        <f>1.52*37/20</f>
        <v>2.8120000000000003</v>
      </c>
      <c r="I20" s="6">
        <f>0.16*37/20</f>
        <v>0.29599999999999999</v>
      </c>
      <c r="J20" s="7">
        <f>9.84*37/20</f>
        <v>18.204000000000001</v>
      </c>
    </row>
    <row r="21" spans="1:10" ht="15.6" x14ac:dyDescent="0.3">
      <c r="A21" s="86"/>
      <c r="B21" s="88" t="s">
        <v>16</v>
      </c>
      <c r="C21" s="53" t="s">
        <v>20</v>
      </c>
      <c r="D21" s="54" t="s">
        <v>21</v>
      </c>
      <c r="E21" s="41" t="s">
        <v>65</v>
      </c>
      <c r="F21" s="69">
        <f>57.54*0.036</f>
        <v>2.0714399999999999</v>
      </c>
      <c r="G21" s="6">
        <f>42*36/20</f>
        <v>75.599999999999994</v>
      </c>
      <c r="H21" s="6">
        <f>0.98*36/20</f>
        <v>1.764</v>
      </c>
      <c r="I21" s="6">
        <f>0.2*36/20</f>
        <v>0.36</v>
      </c>
      <c r="J21" s="7">
        <f>8.96*33/20</f>
        <v>14.784000000000001</v>
      </c>
    </row>
    <row r="22" spans="1:10" ht="16.2" thickBot="1" x14ac:dyDescent="0.35">
      <c r="A22" s="87"/>
      <c r="B22" s="92"/>
      <c r="C22" s="33"/>
      <c r="D22" s="33"/>
      <c r="E22" s="44"/>
      <c r="F22" s="70">
        <f>SUM(F15:F21)</f>
        <v>96.793299410430834</v>
      </c>
      <c r="G22" s="34">
        <f>SUM(G15:G21)</f>
        <v>641.43888888888898</v>
      </c>
      <c r="H22" s="34">
        <f>SUM(H15:H21)</f>
        <v>19.539333333333332</v>
      </c>
      <c r="I22" s="34">
        <f>SUM(I15:I21)</f>
        <v>18.89822222222222</v>
      </c>
      <c r="J22" s="35">
        <f>SUM(J15:J21)</f>
        <v>90.445777777777792</v>
      </c>
    </row>
    <row r="23" spans="1:10" ht="16.2" thickBot="1" x14ac:dyDescent="0.35">
      <c r="A23" s="86"/>
      <c r="B23" s="1" t="s">
        <v>39</v>
      </c>
      <c r="E23" s="42"/>
      <c r="F23" s="42"/>
    </row>
    <row r="24" spans="1:10" ht="29.4" thickBot="1" x14ac:dyDescent="0.35">
      <c r="A24" s="95" t="s">
        <v>1</v>
      </c>
      <c r="B24" s="94" t="s">
        <v>2</v>
      </c>
      <c r="C24" s="2" t="s">
        <v>18</v>
      </c>
      <c r="D24" s="2" t="s">
        <v>3</v>
      </c>
      <c r="E24" s="43" t="s">
        <v>19</v>
      </c>
      <c r="F24" s="43" t="s">
        <v>4</v>
      </c>
      <c r="G24" s="13" t="s">
        <v>5</v>
      </c>
      <c r="H24" s="2" t="s">
        <v>6</v>
      </c>
      <c r="I24" s="2" t="s">
        <v>7</v>
      </c>
      <c r="J24" s="3" t="s">
        <v>8</v>
      </c>
    </row>
    <row r="25" spans="1:10" ht="15.6" x14ac:dyDescent="0.3">
      <c r="A25" s="85" t="s">
        <v>9</v>
      </c>
      <c r="B25" s="79" t="s">
        <v>10</v>
      </c>
      <c r="C25" s="45">
        <v>34</v>
      </c>
      <c r="D25" s="46" t="s">
        <v>33</v>
      </c>
      <c r="E25" s="72" t="s">
        <v>29</v>
      </c>
      <c r="F25" s="73">
        <f>48.91*33/67+9.85*167/133</f>
        <v>36.458045112781953</v>
      </c>
      <c r="G25" s="4">
        <v>364.16</v>
      </c>
      <c r="H25" s="4">
        <v>17.13</v>
      </c>
      <c r="I25" s="4">
        <v>18.649999999999999</v>
      </c>
      <c r="J25" s="5">
        <v>32.299999999999997</v>
      </c>
    </row>
    <row r="26" spans="1:10" ht="15.6" x14ac:dyDescent="0.3">
      <c r="A26" s="86"/>
      <c r="B26" s="80" t="s">
        <v>22</v>
      </c>
      <c r="C26" s="47">
        <v>1</v>
      </c>
      <c r="D26" s="48" t="s">
        <v>40</v>
      </c>
      <c r="E26" s="38">
        <v>80</v>
      </c>
      <c r="F26" s="63">
        <f>27.88*80/100</f>
        <v>22.304000000000002</v>
      </c>
      <c r="G26" s="6">
        <f>24*80/60</f>
        <v>32</v>
      </c>
      <c r="H26" s="6">
        <f>1.86*80/60</f>
        <v>2.48</v>
      </c>
      <c r="I26" s="6">
        <f>0.12*80/60</f>
        <v>0.16</v>
      </c>
      <c r="J26" s="7">
        <f>3.9*80/60</f>
        <v>5.2</v>
      </c>
    </row>
    <row r="27" spans="1:10" ht="15.6" x14ac:dyDescent="0.3">
      <c r="A27" s="86"/>
      <c r="B27" s="81" t="s">
        <v>22</v>
      </c>
      <c r="C27" s="47" t="s">
        <v>20</v>
      </c>
      <c r="D27" s="48" t="s">
        <v>43</v>
      </c>
      <c r="E27" s="38">
        <v>40</v>
      </c>
      <c r="F27" s="63">
        <f>275.55*0.04</f>
        <v>11.022</v>
      </c>
      <c r="G27" s="6">
        <v>96</v>
      </c>
      <c r="H27" s="6">
        <v>3.04</v>
      </c>
      <c r="I27" s="6">
        <v>0.32</v>
      </c>
      <c r="J27" s="7">
        <v>19.440000000000001</v>
      </c>
    </row>
    <row r="28" spans="1:10" ht="15.6" x14ac:dyDescent="0.3">
      <c r="A28" s="86"/>
      <c r="B28" s="82" t="s">
        <v>11</v>
      </c>
      <c r="C28" s="47">
        <v>57</v>
      </c>
      <c r="D28" s="48" t="s">
        <v>34</v>
      </c>
      <c r="E28" s="38">
        <v>200</v>
      </c>
      <c r="F28" s="63">
        <v>1.0900000000000001</v>
      </c>
      <c r="G28" s="6">
        <v>41</v>
      </c>
      <c r="H28" s="6">
        <v>0</v>
      </c>
      <c r="I28" s="6">
        <v>0</v>
      </c>
      <c r="J28" s="7">
        <v>10.01</v>
      </c>
    </row>
    <row r="29" spans="1:10" ht="15.6" x14ac:dyDescent="0.3">
      <c r="A29" s="86"/>
      <c r="B29" s="82" t="s">
        <v>17</v>
      </c>
      <c r="C29" s="47" t="s">
        <v>20</v>
      </c>
      <c r="D29" s="52" t="s">
        <v>25</v>
      </c>
      <c r="E29" s="40" t="s">
        <v>68</v>
      </c>
      <c r="F29" s="63">
        <v>2.42</v>
      </c>
      <c r="G29" s="6">
        <f>117.5*31/50</f>
        <v>72.849999999999994</v>
      </c>
      <c r="H29" s="6">
        <f>3.8*31/50</f>
        <v>2.3559999999999999</v>
      </c>
      <c r="I29" s="6">
        <f>0.4*31/50</f>
        <v>0.248</v>
      </c>
      <c r="J29" s="7">
        <f>24.6*31/50</f>
        <v>15.252000000000001</v>
      </c>
    </row>
    <row r="30" spans="1:10" ht="15.6" x14ac:dyDescent="0.3">
      <c r="A30" s="86"/>
      <c r="B30" s="83" t="s">
        <v>16</v>
      </c>
      <c r="C30" s="51" t="s">
        <v>20</v>
      </c>
      <c r="D30" s="52" t="s">
        <v>21</v>
      </c>
      <c r="E30" s="40" t="s">
        <v>69</v>
      </c>
      <c r="F30" s="63">
        <f>57.54*0.03</f>
        <v>1.7262</v>
      </c>
      <c r="G30" s="6">
        <f>63*30/30</f>
        <v>63</v>
      </c>
      <c r="H30" s="6">
        <f>1.47*30/30</f>
        <v>1.47</v>
      </c>
      <c r="I30" s="6">
        <f>0.3*30/30</f>
        <v>0.3</v>
      </c>
      <c r="J30" s="7">
        <f>13.44*30/30</f>
        <v>13.44</v>
      </c>
    </row>
    <row r="31" spans="1:10" ht="16.2" thickBot="1" x14ac:dyDescent="0.35">
      <c r="A31" s="87"/>
      <c r="B31" s="84"/>
      <c r="C31" s="58"/>
      <c r="D31" s="59"/>
      <c r="E31" s="60"/>
      <c r="F31" s="67">
        <f>SUM(F25:F30)</f>
        <v>75.020245112781964</v>
      </c>
      <c r="G31" s="61">
        <f>SUM(G25:G30)</f>
        <v>669.0100000000001</v>
      </c>
      <c r="H31" s="61">
        <f>SUM(H25:H30)</f>
        <v>26.475999999999999</v>
      </c>
      <c r="I31" s="61">
        <f>SUM(I25:I30)</f>
        <v>19.678000000000001</v>
      </c>
      <c r="J31" s="74">
        <f>SUM(J25:J30)</f>
        <v>95.641999999999996</v>
      </c>
    </row>
    <row r="32" spans="1:10" ht="15.6" x14ac:dyDescent="0.3">
      <c r="A32" s="85" t="s">
        <v>23</v>
      </c>
      <c r="B32" s="80" t="s">
        <v>24</v>
      </c>
      <c r="C32" s="49">
        <v>8</v>
      </c>
      <c r="D32" s="50" t="s">
        <v>35</v>
      </c>
      <c r="E32" s="39">
        <v>200</v>
      </c>
      <c r="F32" s="66">
        <v>18.12</v>
      </c>
      <c r="G32" s="4">
        <v>124</v>
      </c>
      <c r="H32" s="4">
        <v>5.8</v>
      </c>
      <c r="I32" s="4">
        <v>7</v>
      </c>
      <c r="J32" s="5">
        <v>9.4</v>
      </c>
    </row>
    <row r="33" spans="1:12" ht="15" customHeight="1" x14ac:dyDescent="0.3">
      <c r="A33" s="86"/>
      <c r="B33" s="81" t="s">
        <v>22</v>
      </c>
      <c r="C33" s="51" t="s">
        <v>20</v>
      </c>
      <c r="D33" s="52" t="s">
        <v>37</v>
      </c>
      <c r="E33" s="40" t="s">
        <v>58</v>
      </c>
      <c r="F33" s="63">
        <v>30.02</v>
      </c>
      <c r="G33" s="6">
        <f>47*179/100</f>
        <v>84.13</v>
      </c>
      <c r="H33" s="6">
        <f>0.4*179/100</f>
        <v>0.71600000000000008</v>
      </c>
      <c r="I33" s="6">
        <f>0.4*179/100</f>
        <v>0.71600000000000008</v>
      </c>
      <c r="J33" s="7">
        <f>9.8*179/100</f>
        <v>17.542000000000002</v>
      </c>
    </row>
    <row r="34" spans="1:12" ht="15" customHeight="1" x14ac:dyDescent="0.3">
      <c r="A34" s="86"/>
      <c r="B34" s="81" t="s">
        <v>22</v>
      </c>
      <c r="C34" s="53" t="s">
        <v>20</v>
      </c>
      <c r="D34" s="54" t="s">
        <v>30</v>
      </c>
      <c r="E34" s="41" t="s">
        <v>46</v>
      </c>
      <c r="F34" s="69">
        <f>101.5*0.08</f>
        <v>8.120000000000001</v>
      </c>
      <c r="G34" s="8">
        <f>131*80/50</f>
        <v>209.6</v>
      </c>
      <c r="H34" s="8">
        <f>3.75*80/50</f>
        <v>6</v>
      </c>
      <c r="I34" s="8">
        <f>1.45*80/50</f>
        <v>2.3199999999999998</v>
      </c>
      <c r="J34" s="9">
        <f>25.7*80/50</f>
        <v>41.12</v>
      </c>
    </row>
    <row r="35" spans="1:12" ht="16.2" thickBot="1" x14ac:dyDescent="0.35">
      <c r="A35" s="87"/>
      <c r="B35" s="92"/>
      <c r="C35" s="55"/>
      <c r="D35" s="56"/>
      <c r="E35" s="57"/>
      <c r="F35" s="68">
        <f>SUM(F32:F34)</f>
        <v>56.260000000000005</v>
      </c>
      <c r="G35" s="64">
        <f>SUM(G32:G34)</f>
        <v>417.73</v>
      </c>
      <c r="H35" s="64">
        <f>SUM(H32:H34)</f>
        <v>12.516</v>
      </c>
      <c r="I35" s="64">
        <f>SUM(I32:I34)</f>
        <v>10.036</v>
      </c>
      <c r="J35" s="65">
        <f>SUM(J32:J34)</f>
        <v>68.061999999999998</v>
      </c>
    </row>
    <row r="36" spans="1:12" ht="28.8" x14ac:dyDescent="0.3">
      <c r="A36" s="85" t="s">
        <v>12</v>
      </c>
      <c r="B36" s="93" t="s">
        <v>13</v>
      </c>
      <c r="C36" s="49">
        <v>27</v>
      </c>
      <c r="D36" s="50" t="s">
        <v>49</v>
      </c>
      <c r="E36" s="37" t="s">
        <v>42</v>
      </c>
      <c r="F36" s="66">
        <v>15.04</v>
      </c>
      <c r="G36" s="4">
        <f>78.33*100/100</f>
        <v>78.33</v>
      </c>
      <c r="H36" s="4">
        <f>1.2*100/100</f>
        <v>1.2</v>
      </c>
      <c r="I36" s="4">
        <f>4.7*100/100</f>
        <v>4.7</v>
      </c>
      <c r="J36" s="5">
        <f>7.7*100/100</f>
        <v>7.7</v>
      </c>
    </row>
    <row r="37" spans="1:12" ht="28.8" x14ac:dyDescent="0.3">
      <c r="A37" s="86"/>
      <c r="B37" s="83" t="s">
        <v>14</v>
      </c>
      <c r="C37" s="51">
        <v>22</v>
      </c>
      <c r="D37" s="52" t="s">
        <v>41</v>
      </c>
      <c r="E37" s="40" t="s">
        <v>54</v>
      </c>
      <c r="F37" s="63">
        <f>13*230/245+1.92+5.88*1.5</f>
        <v>22.944081632653059</v>
      </c>
      <c r="G37" s="6">
        <v>113</v>
      </c>
      <c r="H37" s="6">
        <v>1.8</v>
      </c>
      <c r="I37" s="6">
        <v>6.09</v>
      </c>
      <c r="J37" s="7">
        <v>9.73</v>
      </c>
    </row>
    <row r="38" spans="1:12" ht="28.8" x14ac:dyDescent="0.3">
      <c r="A38" s="86"/>
      <c r="B38" s="83" t="s">
        <v>15</v>
      </c>
      <c r="C38" s="51">
        <v>51</v>
      </c>
      <c r="D38" s="52" t="s">
        <v>50</v>
      </c>
      <c r="E38" s="40" t="s">
        <v>60</v>
      </c>
      <c r="F38" s="63">
        <f>29.41*50/50+5.21*50/50</f>
        <v>34.619999999999997</v>
      </c>
      <c r="G38" s="6">
        <f>104.44/100*100</f>
        <v>104.44</v>
      </c>
      <c r="H38" s="6">
        <f>9.63/100*100</f>
        <v>9.6300000000000008</v>
      </c>
      <c r="I38" s="6">
        <f>4.97/100*100</f>
        <v>4.97</v>
      </c>
      <c r="J38" s="7">
        <f>5.19/100*100</f>
        <v>5.19</v>
      </c>
      <c r="L38" s="78"/>
    </row>
    <row r="39" spans="1:12" ht="15.6" x14ac:dyDescent="0.3">
      <c r="A39" s="86"/>
      <c r="B39" s="83" t="s">
        <v>31</v>
      </c>
      <c r="C39" s="51">
        <v>7</v>
      </c>
      <c r="D39" s="52" t="s">
        <v>32</v>
      </c>
      <c r="E39" s="40" t="s">
        <v>29</v>
      </c>
      <c r="F39" s="63">
        <f>28.46/180*200</f>
        <v>31.622222222222224</v>
      </c>
      <c r="G39" s="6">
        <f>163*200/180</f>
        <v>181.11111111111111</v>
      </c>
      <c r="H39" s="6">
        <f>3.75*200/180</f>
        <v>4.166666666666667</v>
      </c>
      <c r="I39" s="6">
        <f>5.47*200/180</f>
        <v>6.0777777777777775</v>
      </c>
      <c r="J39" s="7">
        <f>21.98*200/180</f>
        <v>24.422222222222221</v>
      </c>
    </row>
    <row r="40" spans="1:12" ht="15.6" x14ac:dyDescent="0.3">
      <c r="A40" s="86"/>
      <c r="B40" s="83" t="s">
        <v>24</v>
      </c>
      <c r="C40" s="51">
        <v>17</v>
      </c>
      <c r="D40" s="52" t="s">
        <v>36</v>
      </c>
      <c r="E40" s="40">
        <v>200</v>
      </c>
      <c r="F40" s="63">
        <v>3.19</v>
      </c>
      <c r="G40" s="6">
        <v>80</v>
      </c>
      <c r="H40" s="6">
        <v>0.44</v>
      </c>
      <c r="I40" s="6">
        <v>0</v>
      </c>
      <c r="J40" s="7">
        <v>18.899999999999999</v>
      </c>
    </row>
    <row r="41" spans="1:12" ht="15.6" x14ac:dyDescent="0.3">
      <c r="A41" s="86"/>
      <c r="B41" s="83" t="s">
        <v>17</v>
      </c>
      <c r="C41" s="51" t="s">
        <v>20</v>
      </c>
      <c r="D41" s="52" t="s">
        <v>25</v>
      </c>
      <c r="E41" s="40" t="s">
        <v>59</v>
      </c>
      <c r="F41" s="63">
        <f>78.6*0.038</f>
        <v>2.9867999999999997</v>
      </c>
      <c r="G41" s="6">
        <f>141*38/60</f>
        <v>89.3</v>
      </c>
      <c r="H41" s="6">
        <f>4.56*38/60</f>
        <v>2.8879999999999995</v>
      </c>
      <c r="I41" s="6">
        <f>0.48*38/60</f>
        <v>0.30399999999999999</v>
      </c>
      <c r="J41" s="7">
        <f>29.52*38/60</f>
        <v>18.696000000000002</v>
      </c>
    </row>
    <row r="42" spans="1:12" ht="15.6" x14ac:dyDescent="0.3">
      <c r="A42" s="86"/>
      <c r="B42" s="88" t="s">
        <v>16</v>
      </c>
      <c r="C42" s="53" t="s">
        <v>20</v>
      </c>
      <c r="D42" s="54" t="s">
        <v>21</v>
      </c>
      <c r="E42" s="41" t="s">
        <v>67</v>
      </c>
      <c r="F42" s="69">
        <v>2.12</v>
      </c>
      <c r="G42" s="8">
        <f>126*37/60</f>
        <v>77.7</v>
      </c>
      <c r="H42" s="8">
        <f>2.94*37/60</f>
        <v>1.8129999999999999</v>
      </c>
      <c r="I42" s="8">
        <f>0.6*37/60</f>
        <v>0.37</v>
      </c>
      <c r="J42" s="9">
        <f>26.88*37/60</f>
        <v>16.576000000000001</v>
      </c>
    </row>
    <row r="43" spans="1:12" ht="16.2" thickBot="1" x14ac:dyDescent="0.35">
      <c r="A43" s="87"/>
      <c r="B43" s="92"/>
      <c r="C43" s="33"/>
      <c r="D43" s="33"/>
      <c r="E43" s="44"/>
      <c r="F43" s="70">
        <f>SUM(F36:F42)</f>
        <v>112.52310385487527</v>
      </c>
      <c r="G43" s="34">
        <f>SUM(G36:G42)</f>
        <v>723.88111111111107</v>
      </c>
      <c r="H43" s="34">
        <f>SUM(H36:H42)</f>
        <v>21.937666666666665</v>
      </c>
      <c r="I43" s="34">
        <f>SUM(I36:I42)</f>
        <v>22.511777777777773</v>
      </c>
      <c r="J43" s="35">
        <f>SUM(J36:J42)</f>
        <v>101.21422222222222</v>
      </c>
    </row>
    <row r="44" spans="1:12" ht="23.4" customHeight="1" x14ac:dyDescent="0.3">
      <c r="A44" s="18" t="s">
        <v>51</v>
      </c>
    </row>
    <row r="45" spans="1:12" s="19" customFormat="1" ht="23.4" customHeight="1" x14ac:dyDescent="0.3">
      <c r="A45" s="18" t="s">
        <v>27</v>
      </c>
      <c r="B45"/>
      <c r="C45"/>
      <c r="D45"/>
      <c r="E45" s="20"/>
      <c r="F45" s="20"/>
    </row>
  </sheetData>
  <mergeCells count="1">
    <mergeCell ref="B1:D1"/>
  </mergeCells>
  <pageMargins left="0.31496062992125984" right="0.31496062992125984" top="0.31496062992125984" bottom="0.31496062992125984" header="0" footer="0"/>
  <pageSetup paperSize="9" scale="88" fitToHeight="0" orientation="portrait" r:id="rId1"/>
  <ignoredErrors>
    <ignoredError sqref="J10 F10:G10 G5:J5 F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tabSelected="1" zoomScaleNormal="100" workbookViewId="0">
      <selection activeCell="J1" sqref="J1:J1048576"/>
    </sheetView>
  </sheetViews>
  <sheetFormatPr defaultRowHeight="14.4" x14ac:dyDescent="0.3"/>
  <cols>
    <col min="1" max="1" width="11.77734375" style="19" bestFit="1" customWidth="1"/>
    <col min="2" max="2" width="11.6640625" style="19" customWidth="1"/>
    <col min="3" max="3" width="7.109375" style="19" bestFit="1" customWidth="1"/>
    <col min="4" max="4" width="28.88671875" style="19" customWidth="1"/>
    <col min="5" max="5" width="10.21875" style="20" customWidth="1"/>
    <col min="6" max="6" width="7.109375" style="20" bestFit="1" customWidth="1"/>
    <col min="7" max="7" width="8.21875" style="19" customWidth="1"/>
    <col min="8" max="8" width="6.77734375" style="19" bestFit="1" customWidth="1"/>
    <col min="9" max="9" width="10.6640625" style="19" customWidth="1"/>
    <col min="10" max="10" width="9.33203125" style="19" bestFit="1" customWidth="1"/>
    <col min="11" max="16384" width="8.88671875" style="19"/>
  </cols>
  <sheetData>
    <row r="1" spans="1:10" ht="28.8" customHeight="1" x14ac:dyDescent="0.3">
      <c r="A1" s="19" t="s">
        <v>0</v>
      </c>
      <c r="B1" s="106" t="s">
        <v>72</v>
      </c>
      <c r="C1" s="107"/>
      <c r="D1" s="108"/>
      <c r="E1" s="20" t="s">
        <v>26</v>
      </c>
      <c r="F1" s="21"/>
      <c r="H1" s="104" t="s">
        <v>44</v>
      </c>
      <c r="I1" s="98">
        <v>45776</v>
      </c>
      <c r="J1" s="20"/>
    </row>
    <row r="2" spans="1:10" ht="15" thickBot="1" x14ac:dyDescent="0.35">
      <c r="B2" s="22" t="s">
        <v>28</v>
      </c>
    </row>
    <row r="3" spans="1:10" s="28" customFormat="1" ht="29.4" thickBot="1" x14ac:dyDescent="0.35">
      <c r="A3" s="23" t="s">
        <v>1</v>
      </c>
      <c r="B3" s="24" t="s">
        <v>2</v>
      </c>
      <c r="C3" s="24" t="s">
        <v>18</v>
      </c>
      <c r="D3" s="24" t="s">
        <v>3</v>
      </c>
      <c r="E3" s="25" t="s">
        <v>19</v>
      </c>
      <c r="F3" s="25" t="s">
        <v>4</v>
      </c>
      <c r="G3" s="26" t="s">
        <v>5</v>
      </c>
      <c r="H3" s="24" t="s">
        <v>6</v>
      </c>
      <c r="I3" s="24" t="s">
        <v>7</v>
      </c>
      <c r="J3" s="27" t="s">
        <v>8</v>
      </c>
    </row>
    <row r="4" spans="1:10" ht="15.6" x14ac:dyDescent="0.3">
      <c r="A4" s="85" t="s">
        <v>9</v>
      </c>
      <c r="B4" s="79" t="s">
        <v>10</v>
      </c>
      <c r="C4" s="45">
        <v>34</v>
      </c>
      <c r="D4" s="46" t="s">
        <v>33</v>
      </c>
      <c r="E4" s="72" t="s">
        <v>47</v>
      </c>
      <c r="F4" s="73">
        <f>52.46*32/54+10.56*128/106</f>
        <v>43.839105520614957</v>
      </c>
      <c r="G4" s="4">
        <v>291.33</v>
      </c>
      <c r="H4" s="4">
        <v>13.7</v>
      </c>
      <c r="I4" s="4">
        <v>14.92</v>
      </c>
      <c r="J4" s="5">
        <v>25.84</v>
      </c>
    </row>
    <row r="5" spans="1:10" ht="15.6" x14ac:dyDescent="0.3">
      <c r="A5" s="86"/>
      <c r="B5" s="80" t="s">
        <v>11</v>
      </c>
      <c r="C5" s="47">
        <v>1</v>
      </c>
      <c r="D5" s="48" t="s">
        <v>40</v>
      </c>
      <c r="E5" s="38">
        <v>60</v>
      </c>
      <c r="F5" s="63">
        <v>22.25</v>
      </c>
      <c r="G5" s="6">
        <f>24*60/60</f>
        <v>24</v>
      </c>
      <c r="H5" s="6">
        <f>1.86*60/60</f>
        <v>1.86</v>
      </c>
      <c r="I5" s="6">
        <f>0.12*60/60</f>
        <v>0.11999999999999998</v>
      </c>
      <c r="J5" s="7">
        <f>3.9*60/60</f>
        <v>3.9</v>
      </c>
    </row>
    <row r="6" spans="1:10" ht="15.6" x14ac:dyDescent="0.3">
      <c r="A6" s="86"/>
      <c r="B6" s="81" t="s">
        <v>22</v>
      </c>
      <c r="C6" s="47" t="s">
        <v>20</v>
      </c>
      <c r="D6" s="48" t="s">
        <v>43</v>
      </c>
      <c r="E6" s="38">
        <v>40</v>
      </c>
      <c r="F6" s="63">
        <f>275.55*0.04*1.33</f>
        <v>14.659260000000002</v>
      </c>
      <c r="G6" s="6">
        <v>96</v>
      </c>
      <c r="H6" s="6">
        <v>3.04</v>
      </c>
      <c r="I6" s="6">
        <v>0.32</v>
      </c>
      <c r="J6" s="7">
        <v>19.440000000000001</v>
      </c>
    </row>
    <row r="7" spans="1:10" ht="15.6" x14ac:dyDescent="0.3">
      <c r="A7" s="86"/>
      <c r="B7" s="82" t="s">
        <v>11</v>
      </c>
      <c r="C7" s="47">
        <v>57</v>
      </c>
      <c r="D7" s="48" t="s">
        <v>34</v>
      </c>
      <c r="E7" s="38">
        <v>200</v>
      </c>
      <c r="F7" s="63">
        <v>1.45</v>
      </c>
      <c r="G7" s="6">
        <v>41</v>
      </c>
      <c r="H7" s="6">
        <v>0</v>
      </c>
      <c r="I7" s="6">
        <v>0</v>
      </c>
      <c r="J7" s="7">
        <v>10.01</v>
      </c>
    </row>
    <row r="8" spans="1:10" ht="15.6" x14ac:dyDescent="0.3">
      <c r="A8" s="86"/>
      <c r="B8" s="83" t="s">
        <v>17</v>
      </c>
      <c r="C8" s="51" t="s">
        <v>20</v>
      </c>
      <c r="D8" s="52" t="s">
        <v>25</v>
      </c>
      <c r="E8" s="38">
        <v>24</v>
      </c>
      <c r="F8" s="63">
        <v>2.21</v>
      </c>
      <c r="G8" s="6">
        <f>70.5*24/30</f>
        <v>56.4</v>
      </c>
      <c r="H8" s="6">
        <f>2.28*24/30</f>
        <v>1.8240000000000001</v>
      </c>
      <c r="I8" s="6">
        <f>0.24*24/30</f>
        <v>0.192</v>
      </c>
      <c r="J8" s="7">
        <f>14.76*24/30</f>
        <v>11.808</v>
      </c>
    </row>
    <row r="9" spans="1:10" ht="15.6" x14ac:dyDescent="0.3">
      <c r="A9" s="86"/>
      <c r="B9" s="83" t="s">
        <v>16</v>
      </c>
      <c r="C9" s="51" t="s">
        <v>20</v>
      </c>
      <c r="D9" s="52" t="s">
        <v>21</v>
      </c>
      <c r="E9" s="40" t="s">
        <v>62</v>
      </c>
      <c r="F9" s="63">
        <f>69.05*0.023</f>
        <v>1.58815</v>
      </c>
      <c r="G9" s="6">
        <f>42*23/20</f>
        <v>48.3</v>
      </c>
      <c r="H9" s="6">
        <f>0.98*23/20</f>
        <v>1.127</v>
      </c>
      <c r="I9" s="6">
        <f>0.2*23/20</f>
        <v>0.23000000000000004</v>
      </c>
      <c r="J9" s="7">
        <f>8.96*23/20</f>
        <v>10.304</v>
      </c>
    </row>
    <row r="10" spans="1:10" ht="16.2" thickBot="1" x14ac:dyDescent="0.35">
      <c r="A10" s="87"/>
      <c r="B10" s="84"/>
      <c r="C10" s="58"/>
      <c r="D10" s="59"/>
      <c r="E10" s="60"/>
      <c r="F10" s="67">
        <f>SUM(F4:F9)</f>
        <v>85.996515520614963</v>
      </c>
      <c r="G10" s="61">
        <f>SUM(G4:G9)</f>
        <v>557.03</v>
      </c>
      <c r="H10" s="61">
        <f>SUM(H4:H9)</f>
        <v>21.550999999999998</v>
      </c>
      <c r="I10" s="61">
        <f>SUM(I4:I9)</f>
        <v>15.782</v>
      </c>
      <c r="J10" s="74">
        <f>SUM(J4:J9)</f>
        <v>81.301999999999992</v>
      </c>
    </row>
    <row r="11" spans="1:10" ht="15.6" x14ac:dyDescent="0.3">
      <c r="A11" s="90"/>
      <c r="B11" s="83" t="s">
        <v>31</v>
      </c>
      <c r="C11" s="51">
        <v>7</v>
      </c>
      <c r="D11" s="52" t="s">
        <v>32</v>
      </c>
      <c r="E11" s="40" t="s">
        <v>70</v>
      </c>
      <c r="F11" s="63">
        <f>37.85*180/180</f>
        <v>37.85</v>
      </c>
      <c r="G11" s="6">
        <f>163*180/180</f>
        <v>163</v>
      </c>
      <c r="H11" s="6">
        <f>3.75*180/180</f>
        <v>3.75</v>
      </c>
      <c r="I11" s="6">
        <f>5.47*180/180</f>
        <v>5.47</v>
      </c>
      <c r="J11" s="7">
        <f>21.98*180/180</f>
        <v>21.98</v>
      </c>
    </row>
    <row r="12" spans="1:10" ht="28.8" x14ac:dyDescent="0.3">
      <c r="A12" s="91"/>
      <c r="B12" s="83" t="s">
        <v>15</v>
      </c>
      <c r="C12" s="51">
        <v>51</v>
      </c>
      <c r="D12" s="52" t="s">
        <v>50</v>
      </c>
      <c r="E12" s="40" t="s">
        <v>60</v>
      </c>
      <c r="F12" s="63">
        <f>39.11/50*50+6.93/50*50</f>
        <v>46.04</v>
      </c>
      <c r="G12" s="6">
        <f>104.44/100*100</f>
        <v>104.44</v>
      </c>
      <c r="H12" s="6">
        <f>9.63/100*100</f>
        <v>9.6300000000000008</v>
      </c>
      <c r="I12" s="6">
        <f>4.97/100*100</f>
        <v>4.97</v>
      </c>
      <c r="J12" s="7">
        <f>5.19/100*100</f>
        <v>5.19</v>
      </c>
    </row>
    <row r="13" spans="1:10" ht="15.6" x14ac:dyDescent="0.3">
      <c r="A13" s="91"/>
      <c r="B13" s="82" t="s">
        <v>11</v>
      </c>
      <c r="C13" s="51">
        <v>17</v>
      </c>
      <c r="D13" s="52" t="s">
        <v>36</v>
      </c>
      <c r="E13" s="40">
        <v>200</v>
      </c>
      <c r="F13" s="63">
        <v>4.24</v>
      </c>
      <c r="G13" s="6">
        <v>80</v>
      </c>
      <c r="H13" s="6">
        <v>0.44</v>
      </c>
      <c r="I13" s="6">
        <v>0</v>
      </c>
      <c r="J13" s="7">
        <v>18.899999999999999</v>
      </c>
    </row>
    <row r="14" spans="1:10" ht="16.8" customHeight="1" x14ac:dyDescent="0.3">
      <c r="A14" s="91"/>
      <c r="B14" s="99" t="s">
        <v>17</v>
      </c>
      <c r="C14" s="51" t="s">
        <v>20</v>
      </c>
      <c r="D14" s="52" t="s">
        <v>25</v>
      </c>
      <c r="E14" s="40" t="s">
        <v>66</v>
      </c>
      <c r="F14" s="63">
        <v>1.87</v>
      </c>
      <c r="G14" s="6">
        <f>70.5*20/30</f>
        <v>47</v>
      </c>
      <c r="H14" s="6">
        <f>2.28*20/30</f>
        <v>1.5199999999999998</v>
      </c>
      <c r="I14" s="6">
        <f>0.24*20/30</f>
        <v>0.16</v>
      </c>
      <c r="J14" s="7">
        <f>14.76*20/30</f>
        <v>9.84</v>
      </c>
    </row>
    <row r="15" spans="1:10" ht="16.2" thickBot="1" x14ac:dyDescent="0.35">
      <c r="A15" s="103"/>
      <c r="B15" s="102"/>
      <c r="C15" s="29"/>
      <c r="D15" s="29"/>
      <c r="E15" s="62"/>
      <c r="F15" s="71">
        <f>SUM(F11:F14)</f>
        <v>90</v>
      </c>
      <c r="G15" s="31">
        <f>SUM(G11:G14)</f>
        <v>394.44</v>
      </c>
      <c r="H15" s="31">
        <f>SUM(H11:H13)</f>
        <v>13.82</v>
      </c>
      <c r="I15" s="31">
        <f>SUM(I11:I13)</f>
        <v>10.44</v>
      </c>
      <c r="J15" s="32">
        <f>SUM(J11:J13)</f>
        <v>46.07</v>
      </c>
    </row>
    <row r="16" spans="1:10" ht="15.6" x14ac:dyDescent="0.3">
      <c r="A16" s="90"/>
      <c r="B16" s="83" t="s">
        <v>31</v>
      </c>
      <c r="C16" s="51">
        <v>7</v>
      </c>
      <c r="D16" s="52" t="s">
        <v>32</v>
      </c>
      <c r="E16" s="40" t="s">
        <v>48</v>
      </c>
      <c r="F16" s="63">
        <f>37.85*150/180</f>
        <v>31.541666666666668</v>
      </c>
      <c r="G16" s="6">
        <f>163*150/180</f>
        <v>135.83333333333334</v>
      </c>
      <c r="H16" s="6">
        <f>3.75*150/180</f>
        <v>3.125</v>
      </c>
      <c r="I16" s="6">
        <f>5.47*150/180</f>
        <v>4.5583333333333336</v>
      </c>
      <c r="J16" s="7">
        <f>21.98*150/180</f>
        <v>18.316666666666666</v>
      </c>
    </row>
    <row r="17" spans="1:10" ht="15.6" x14ac:dyDescent="0.3">
      <c r="A17" s="91"/>
      <c r="B17" s="83" t="s">
        <v>15</v>
      </c>
      <c r="C17" s="76">
        <v>67</v>
      </c>
      <c r="D17" s="77" t="s">
        <v>52</v>
      </c>
      <c r="E17" s="40" t="s">
        <v>53</v>
      </c>
      <c r="F17" s="63">
        <v>63.39</v>
      </c>
      <c r="G17" s="6">
        <v>207</v>
      </c>
      <c r="H17" s="6">
        <v>14.88</v>
      </c>
      <c r="I17" s="6">
        <v>10.43</v>
      </c>
      <c r="J17" s="7">
        <v>13.7</v>
      </c>
    </row>
    <row r="18" spans="1:10" ht="15.6" x14ac:dyDescent="0.3">
      <c r="A18" s="91"/>
      <c r="B18" s="99" t="s">
        <v>24</v>
      </c>
      <c r="C18" s="51">
        <v>17</v>
      </c>
      <c r="D18" s="52" t="s">
        <v>36</v>
      </c>
      <c r="E18" s="40">
        <v>200</v>
      </c>
      <c r="F18" s="63">
        <v>4.24</v>
      </c>
      <c r="G18" s="6">
        <v>80</v>
      </c>
      <c r="H18" s="6">
        <v>0.44</v>
      </c>
      <c r="I18" s="6">
        <v>0</v>
      </c>
      <c r="J18" s="7">
        <v>18.899999999999999</v>
      </c>
    </row>
    <row r="19" spans="1:10" ht="15.6" x14ac:dyDescent="0.3">
      <c r="A19" s="91"/>
      <c r="B19" s="100" t="s">
        <v>22</v>
      </c>
      <c r="C19" s="47" t="s">
        <v>20</v>
      </c>
      <c r="D19" s="48" t="s">
        <v>43</v>
      </c>
      <c r="E19" s="38">
        <v>20</v>
      </c>
      <c r="F19" s="63">
        <f>275.55*0.02*1.33</f>
        <v>7.3296300000000008</v>
      </c>
      <c r="G19" s="6">
        <f>96/40*20</f>
        <v>48</v>
      </c>
      <c r="H19" s="6">
        <f>3.04/40*20</f>
        <v>1.52</v>
      </c>
      <c r="I19" s="6">
        <f>0.32/40*20</f>
        <v>0.16</v>
      </c>
      <c r="J19" s="7">
        <f>19.44/40*20</f>
        <v>9.7200000000000006</v>
      </c>
    </row>
    <row r="20" spans="1:10" ht="16.8" customHeight="1" x14ac:dyDescent="0.3">
      <c r="A20" s="91"/>
      <c r="B20" s="99" t="s">
        <v>17</v>
      </c>
      <c r="C20" s="51" t="s">
        <v>20</v>
      </c>
      <c r="D20" s="52" t="s">
        <v>25</v>
      </c>
      <c r="E20" s="40" t="s">
        <v>63</v>
      </c>
      <c r="F20" s="63">
        <v>2.0499999999999998</v>
      </c>
      <c r="G20" s="6">
        <f>70.5*22/30</f>
        <v>51.7</v>
      </c>
      <c r="H20" s="6">
        <f>2.28*22/30</f>
        <v>1.6719999999999999</v>
      </c>
      <c r="I20" s="6">
        <f>0.24*22/30</f>
        <v>0.17599999999999999</v>
      </c>
      <c r="J20" s="7">
        <f>14.76*22/30</f>
        <v>10.824</v>
      </c>
    </row>
    <row r="21" spans="1:10" ht="16.8" customHeight="1" x14ac:dyDescent="0.3">
      <c r="A21" s="91"/>
      <c r="B21" s="101" t="s">
        <v>16</v>
      </c>
      <c r="C21" s="53" t="s">
        <v>20</v>
      </c>
      <c r="D21" s="54" t="s">
        <v>21</v>
      </c>
      <c r="E21" s="41" t="s">
        <v>64</v>
      </c>
      <c r="F21" s="69">
        <f>69.05*0.021</f>
        <v>1.4500500000000001</v>
      </c>
      <c r="G21" s="6">
        <f>63*21/30</f>
        <v>44.1</v>
      </c>
      <c r="H21" s="6">
        <f>1.47*21/30</f>
        <v>1.0290000000000001</v>
      </c>
      <c r="I21" s="6">
        <f>0.3*21/30</f>
        <v>0.21</v>
      </c>
      <c r="J21" s="7">
        <f>13.44*21/30</f>
        <v>9.4079999999999995</v>
      </c>
    </row>
    <row r="22" spans="1:10" ht="16.2" thickBot="1" x14ac:dyDescent="0.35">
      <c r="A22" s="103"/>
      <c r="B22" s="102"/>
      <c r="C22" s="29"/>
      <c r="D22" s="29"/>
      <c r="E22" s="62"/>
      <c r="F22" s="71">
        <f>SUM(F16:F21)</f>
        <v>110.00134666666666</v>
      </c>
      <c r="G22" s="31">
        <f>SUM(G16:G21)</f>
        <v>566.63333333333344</v>
      </c>
      <c r="H22" s="31">
        <f>SUM(H16:H18)</f>
        <v>18.445000000000004</v>
      </c>
      <c r="I22" s="31">
        <f>SUM(I16:I18)</f>
        <v>14.988333333333333</v>
      </c>
      <c r="J22" s="32">
        <f>SUM(J16:J18)</f>
        <v>50.916666666666664</v>
      </c>
    </row>
    <row r="23" spans="1:10" ht="28.8" x14ac:dyDescent="0.3">
      <c r="A23" s="91"/>
      <c r="B23" s="83" t="s">
        <v>14</v>
      </c>
      <c r="C23" s="51">
        <v>22</v>
      </c>
      <c r="D23" s="52" t="s">
        <v>41</v>
      </c>
      <c r="E23" s="40" t="s">
        <v>56</v>
      </c>
      <c r="F23" s="63">
        <f>19.84*235/245+2.55+7.82*1</f>
        <v>29.400204081632651</v>
      </c>
      <c r="G23" s="6">
        <v>113</v>
      </c>
      <c r="H23" s="6">
        <v>1.8</v>
      </c>
      <c r="I23" s="6">
        <v>6.09</v>
      </c>
      <c r="J23" s="7">
        <v>9.73</v>
      </c>
    </row>
    <row r="24" spans="1:10" ht="15.6" x14ac:dyDescent="0.3">
      <c r="A24" s="91"/>
      <c r="B24" s="83" t="s">
        <v>31</v>
      </c>
      <c r="C24" s="51">
        <v>7</v>
      </c>
      <c r="D24" s="52" t="s">
        <v>32</v>
      </c>
      <c r="E24" s="40" t="s">
        <v>48</v>
      </c>
      <c r="F24" s="63">
        <f>37.85*150/180</f>
        <v>31.541666666666668</v>
      </c>
      <c r="G24" s="6">
        <f>163*150/180</f>
        <v>135.83333333333334</v>
      </c>
      <c r="H24" s="6">
        <f>3.75*150/180</f>
        <v>3.125</v>
      </c>
      <c r="I24" s="6">
        <f>5.47*150/180</f>
        <v>4.5583333333333336</v>
      </c>
      <c r="J24" s="7">
        <f>21.98*150/180</f>
        <v>18.316666666666666</v>
      </c>
    </row>
    <row r="25" spans="1:10" ht="15.6" x14ac:dyDescent="0.3">
      <c r="A25" s="91"/>
      <c r="B25" s="83" t="s">
        <v>15</v>
      </c>
      <c r="C25" s="76">
        <v>67</v>
      </c>
      <c r="D25" s="77" t="s">
        <v>52</v>
      </c>
      <c r="E25" s="40" t="s">
        <v>53</v>
      </c>
      <c r="F25" s="63">
        <v>63.39</v>
      </c>
      <c r="G25" s="6">
        <v>207</v>
      </c>
      <c r="H25" s="6">
        <v>14.88</v>
      </c>
      <c r="I25" s="6">
        <v>10.43</v>
      </c>
      <c r="J25" s="7">
        <v>13.7</v>
      </c>
    </row>
    <row r="26" spans="1:10" ht="15.6" x14ac:dyDescent="0.3">
      <c r="A26" s="91"/>
      <c r="B26" s="99" t="s">
        <v>24</v>
      </c>
      <c r="C26" s="51">
        <v>17</v>
      </c>
      <c r="D26" s="52" t="s">
        <v>36</v>
      </c>
      <c r="E26" s="40">
        <v>200</v>
      </c>
      <c r="F26" s="63">
        <v>4.24</v>
      </c>
      <c r="G26" s="6">
        <v>80</v>
      </c>
      <c r="H26" s="6">
        <v>0.44</v>
      </c>
      <c r="I26" s="6">
        <v>0</v>
      </c>
      <c r="J26" s="7">
        <v>18.899999999999999</v>
      </c>
    </row>
    <row r="27" spans="1:10" ht="15.6" x14ac:dyDescent="0.3">
      <c r="A27" s="91"/>
      <c r="B27" s="99" t="s">
        <v>17</v>
      </c>
      <c r="C27" s="51" t="s">
        <v>20</v>
      </c>
      <c r="D27" s="52" t="s">
        <v>25</v>
      </c>
      <c r="E27" s="40" t="s">
        <v>71</v>
      </c>
      <c r="F27" s="63">
        <v>3.74</v>
      </c>
      <c r="G27" s="6">
        <f>70.5*40/30</f>
        <v>94</v>
      </c>
      <c r="H27" s="6">
        <f>2.28*40/30</f>
        <v>3.0399999999999996</v>
      </c>
      <c r="I27" s="6">
        <f>0.24*40/30</f>
        <v>0.32</v>
      </c>
      <c r="J27" s="7">
        <f>14.76*40/30</f>
        <v>19.68</v>
      </c>
    </row>
    <row r="28" spans="1:10" ht="15.6" x14ac:dyDescent="0.3">
      <c r="A28" s="91"/>
      <c r="B28" s="101" t="s">
        <v>16</v>
      </c>
      <c r="C28" s="53" t="s">
        <v>20</v>
      </c>
      <c r="D28" s="54" t="s">
        <v>21</v>
      </c>
      <c r="E28" s="41" t="s">
        <v>61</v>
      </c>
      <c r="F28" s="69">
        <f>69.05*0.039</f>
        <v>2.6929499999999997</v>
      </c>
      <c r="G28" s="6">
        <f>63*39/30</f>
        <v>81.900000000000006</v>
      </c>
      <c r="H28" s="6">
        <f>1.47*39/30</f>
        <v>1.911</v>
      </c>
      <c r="I28" s="6">
        <f>0.3*39/30</f>
        <v>0.38999999999999996</v>
      </c>
      <c r="J28" s="7">
        <f>13.44*39/30</f>
        <v>17.471999999999998</v>
      </c>
    </row>
    <row r="29" spans="1:10" ht="16.2" thickBot="1" x14ac:dyDescent="0.35">
      <c r="A29" s="103"/>
      <c r="B29" s="89"/>
      <c r="C29" s="29"/>
      <c r="D29" s="29"/>
      <c r="E29" s="30"/>
      <c r="F29" s="75">
        <f>SUM(F23:F28)</f>
        <v>135.00482074829932</v>
      </c>
      <c r="G29" s="31">
        <f>SUM(G23:G28)</f>
        <v>711.73333333333335</v>
      </c>
      <c r="H29" s="31">
        <f>SUM(H23:H28)</f>
        <v>25.196000000000002</v>
      </c>
      <c r="I29" s="31">
        <f>SUM(I23:I28)</f>
        <v>21.788333333333334</v>
      </c>
      <c r="J29" s="32">
        <f>SUM(J23:J28)</f>
        <v>97.798666666666662</v>
      </c>
    </row>
    <row r="30" spans="1:10" customFormat="1" ht="23.4" customHeight="1" x14ac:dyDescent="0.3">
      <c r="A30" s="18" t="s">
        <v>51</v>
      </c>
      <c r="E30" s="12"/>
      <c r="F30" s="12"/>
    </row>
    <row r="31" spans="1:10" ht="23.4" customHeight="1" x14ac:dyDescent="0.3">
      <c r="A31" s="18" t="s">
        <v>27</v>
      </c>
      <c r="B31"/>
      <c r="C31"/>
      <c r="D31"/>
    </row>
    <row r="32" spans="1:10" customFormat="1" x14ac:dyDescent="0.3">
      <c r="E32" s="12"/>
      <c r="F32" s="12"/>
    </row>
    <row r="33" spans="5:6" customFormat="1" x14ac:dyDescent="0.3">
      <c r="E33" s="12"/>
      <c r="F33" s="12"/>
    </row>
  </sheetData>
  <mergeCells count="1">
    <mergeCell ref="B1:D1"/>
  </mergeCells>
  <pageMargins left="0.31496062992125984" right="0.31496062992125984" top="0.31496062992125984" bottom="0.31496062992125984" header="0" footer="0"/>
  <pageSetup paperSize="9" scale="89" fitToHeight="0" orientation="portrait" r:id="rId1"/>
  <ignoredErrors>
    <ignoredError sqref="J10 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Krapivina Mariya</cp:lastModifiedBy>
  <cp:lastPrinted>2024-11-25T07:30:45Z</cp:lastPrinted>
  <dcterms:created xsi:type="dcterms:W3CDTF">2015-06-05T18:19:34Z</dcterms:created>
  <dcterms:modified xsi:type="dcterms:W3CDTF">2025-04-25T06:48:10Z</dcterms:modified>
</cp:coreProperties>
</file>