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E8B41A45-518B-4372-A4F7-24FF60C06D0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J27" i="2"/>
  <c r="J26" i="2"/>
  <c r="I27" i="2"/>
  <c r="I26" i="2"/>
  <c r="H27" i="2"/>
  <c r="H26" i="2"/>
  <c r="G27" i="2"/>
  <c r="G26" i="2"/>
  <c r="F26" i="2"/>
  <c r="F23" i="2"/>
  <c r="F24" i="2"/>
  <c r="J20" i="2"/>
  <c r="I20" i="2"/>
  <c r="H20" i="2"/>
  <c r="G20" i="2"/>
  <c r="J19" i="2"/>
  <c r="I19" i="2"/>
  <c r="H19" i="2"/>
  <c r="G19" i="2"/>
  <c r="F19" i="2"/>
  <c r="F20" i="2"/>
  <c r="F17" i="2"/>
  <c r="J14" i="2"/>
  <c r="I14" i="2"/>
  <c r="H14" i="2"/>
  <c r="G14" i="2"/>
  <c r="F12" i="2"/>
  <c r="F9" i="2"/>
  <c r="F6" i="2"/>
  <c r="F5" i="2"/>
  <c r="J40" i="1"/>
  <c r="I40" i="1"/>
  <c r="H40" i="1"/>
  <c r="G40" i="1"/>
  <c r="J39" i="1"/>
  <c r="I39" i="1"/>
  <c r="H39" i="1"/>
  <c r="G39" i="1"/>
  <c r="F40" i="1"/>
  <c r="F37" i="1"/>
  <c r="F36" i="1"/>
  <c r="J29" i="1"/>
  <c r="I29" i="1"/>
  <c r="H29" i="1"/>
  <c r="G29" i="1"/>
  <c r="J28" i="1"/>
  <c r="I28" i="1"/>
  <c r="H28" i="1"/>
  <c r="G28" i="1"/>
  <c r="F29" i="1"/>
  <c r="F26" i="1"/>
  <c r="F25" i="1"/>
  <c r="J20" i="1"/>
  <c r="I20" i="1"/>
  <c r="H20" i="1"/>
  <c r="G20" i="1"/>
  <c r="J19" i="1"/>
  <c r="I19" i="1"/>
  <c r="H19" i="1"/>
  <c r="G19" i="1"/>
  <c r="F20" i="1"/>
  <c r="F17" i="1"/>
  <c r="F16" i="1"/>
  <c r="J9" i="1"/>
  <c r="I9" i="1"/>
  <c r="H9" i="1"/>
  <c r="G9" i="1"/>
  <c r="F9" i="1"/>
  <c r="F6" i="1"/>
  <c r="F5" i="1"/>
  <c r="J22" i="2" l="1"/>
  <c r="I22" i="2"/>
  <c r="H22" i="2"/>
  <c r="G22" i="2"/>
  <c r="F22" i="2"/>
  <c r="J16" i="2"/>
  <c r="I16" i="2"/>
  <c r="H16" i="2"/>
  <c r="G16" i="2"/>
  <c r="F16" i="2"/>
  <c r="J11" i="2"/>
  <c r="I11" i="2"/>
  <c r="H11" i="2"/>
  <c r="G11" i="2"/>
  <c r="F11" i="2"/>
  <c r="J9" i="2"/>
  <c r="J8" i="2"/>
  <c r="I9" i="2"/>
  <c r="I8" i="2"/>
  <c r="H9" i="2"/>
  <c r="H8" i="2"/>
  <c r="G9" i="2"/>
  <c r="G8" i="2"/>
  <c r="F4" i="2"/>
  <c r="F24" i="1"/>
  <c r="J8" i="1"/>
  <c r="I8" i="1"/>
  <c r="H8" i="1"/>
  <c r="G8" i="1"/>
  <c r="F4" i="1"/>
  <c r="F15" i="1"/>
  <c r="J32" i="1"/>
  <c r="I32" i="1"/>
  <c r="H32" i="1"/>
  <c r="G32" i="1"/>
  <c r="J25" i="1"/>
  <c r="I25" i="1"/>
  <c r="H25" i="1"/>
  <c r="G25" i="1"/>
  <c r="J12" i="1"/>
  <c r="I12" i="1"/>
  <c r="H12" i="1"/>
  <c r="G12" i="1"/>
  <c r="F13" i="1"/>
  <c r="J5" i="1"/>
  <c r="I5" i="1"/>
  <c r="H5" i="1"/>
  <c r="G5" i="1"/>
  <c r="J15" i="1" l="1"/>
  <c r="I15" i="1"/>
  <c r="H15" i="1"/>
  <c r="G15" i="1"/>
  <c r="F14" i="1" l="1"/>
  <c r="F28" i="2" l="1"/>
  <c r="J6" i="2" l="1"/>
  <c r="I6" i="2"/>
  <c r="H6" i="2"/>
  <c r="G6" i="2"/>
  <c r="J4" i="2"/>
  <c r="I4" i="2"/>
  <c r="H4" i="2"/>
  <c r="G4" i="2"/>
  <c r="F41" i="1"/>
  <c r="J24" i="1"/>
  <c r="I24" i="1"/>
  <c r="H24" i="1"/>
  <c r="G24" i="1"/>
  <c r="J4" i="1"/>
  <c r="I4" i="1"/>
  <c r="H4" i="1"/>
  <c r="G4" i="1"/>
  <c r="J6" i="1"/>
  <c r="I6" i="1"/>
  <c r="H6" i="1"/>
  <c r="G6" i="1"/>
  <c r="F34" i="1" l="1"/>
  <c r="I15" i="2" l="1"/>
  <c r="G15" i="2"/>
  <c r="H15" i="2"/>
  <c r="F15" i="2" l="1"/>
  <c r="J15" i="2"/>
  <c r="J33" i="1"/>
  <c r="I33" i="1"/>
  <c r="H33" i="1"/>
  <c r="G33" i="1"/>
  <c r="H28" i="2" l="1"/>
  <c r="F10" i="1"/>
  <c r="J26" i="1"/>
  <c r="I26" i="1"/>
  <c r="H26" i="1"/>
  <c r="G26" i="1"/>
  <c r="J13" i="1"/>
  <c r="I13" i="1"/>
  <c r="H13" i="1"/>
  <c r="G13" i="1"/>
  <c r="F21" i="1" l="1"/>
  <c r="F21" i="2" l="1"/>
  <c r="F30" i="1"/>
  <c r="F10" i="2"/>
  <c r="H21" i="2"/>
  <c r="G21" i="2"/>
  <c r="G28" i="2"/>
  <c r="J10" i="2"/>
  <c r="I10" i="2"/>
  <c r="H10" i="2"/>
  <c r="G10" i="2"/>
  <c r="G10" i="1" l="1"/>
  <c r="J28" i="2" l="1"/>
  <c r="I28" i="2"/>
  <c r="J34" i="1"/>
  <c r="I34" i="1"/>
  <c r="H34" i="1"/>
  <c r="G34" i="1"/>
  <c r="J14" i="1"/>
  <c r="I14" i="1"/>
  <c r="H14" i="1"/>
  <c r="G14" i="1"/>
  <c r="J41" i="1"/>
  <c r="I41" i="1"/>
  <c r="H41" i="1"/>
  <c r="G41" i="1"/>
  <c r="J30" i="1"/>
  <c r="I30" i="1"/>
  <c r="H30" i="1"/>
  <c r="G30" i="1"/>
  <c r="J21" i="1" l="1"/>
  <c r="I21" i="1"/>
  <c r="H21" i="1"/>
  <c r="G21" i="1"/>
  <c r="H10" i="1" l="1"/>
  <c r="J10" i="1" l="1"/>
  <c r="I10" i="1" l="1"/>
  <c r="I21" i="2" l="1"/>
  <c r="J21" i="2"/>
</calcChain>
</file>

<file path=xl/sharedStrings.xml><?xml version="1.0" encoding="utf-8"?>
<sst xmlns="http://schemas.openxmlformats.org/spreadsheetml/2006/main" count="208" uniqueCount="66">
  <si>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</si>
  <si>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</si>
  <si>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</si>
  <si>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</si>
  <si>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</si>
  <si>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</si>
  <si>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</si>
  <si>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</si>
  <si>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</si>
  <si>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</si>
  <si>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</si>
  <si>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</si>
  <si>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</si>
  <si>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</si>
  <si>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</si>
  <si>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</si>
  <si>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</si>
  <si>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</si>
  <si>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</si>
  <si>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</si>
  <si>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</si>
  <si>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</si>
  <si>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</si>
  <si>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</si>
  <si>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Зав.производством _________________________________</t>
  </si>
  <si>
    <t>За наличный расчет</t>
  </si>
  <si>
    <t>гарнир</t>
  </si>
  <si>
    <t>добавка</t>
  </si>
  <si>
    <t>200</t>
  </si>
  <si>
    <t>гор.напиток</t>
  </si>
  <si>
    <t>Чай с сахаром</t>
  </si>
  <si>
    <t>Яблоко</t>
  </si>
  <si>
    <t>Рис отварной</t>
  </si>
  <si>
    <t xml:space="preserve">Чай с молоком </t>
  </si>
  <si>
    <t>Шанежка с картофелем</t>
  </si>
  <si>
    <t>Макаронник с мясом</t>
  </si>
  <si>
    <t>Напиток из шиповника</t>
  </si>
  <si>
    <t>100</t>
  </si>
  <si>
    <t>6-11 лет</t>
  </si>
  <si>
    <t>12-18 лет</t>
  </si>
  <si>
    <t>55/55</t>
  </si>
  <si>
    <t>День 4</t>
  </si>
  <si>
    <t>Рыба, тушеная в томате с овощами</t>
  </si>
  <si>
    <t>Зеленый горошек отварной</t>
  </si>
  <si>
    <t>Свекольник со сметаной, с мясом птицы</t>
  </si>
  <si>
    <t>50</t>
  </si>
  <si>
    <t>65</t>
  </si>
  <si>
    <t>Бухгалтер-калькулятор _______________________________</t>
  </si>
  <si>
    <t>240</t>
  </si>
  <si>
    <t>280</t>
  </si>
  <si>
    <t>26</t>
  </si>
  <si>
    <t>Мармелад</t>
  </si>
  <si>
    <t>45/45</t>
  </si>
  <si>
    <t>120</t>
  </si>
  <si>
    <t>245/5</t>
  </si>
  <si>
    <t>Свекольник со сметаной</t>
  </si>
  <si>
    <t>70</t>
  </si>
  <si>
    <t>235/5/10</t>
  </si>
  <si>
    <t>150</t>
  </si>
  <si>
    <t>180</t>
  </si>
  <si>
    <t>240/5/5</t>
  </si>
  <si>
    <t>75</t>
  </si>
  <si>
    <t>60</t>
  </si>
  <si>
    <t>31</t>
  </si>
  <si>
    <t>33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</si>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</sst>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2" fontId="0" fillId="0" borderId="14" xfId="0" applyNumberFormat="1" applyBorder="1" applyProtection="1">
      <protection locked="0"/>
    </xf>
    <xf numFmtId="0" fontId="0" fillId="0" borderId="12" xfId="0" applyBorder="1"/>
    <xf numFmtId="2" fontId="0" fillId="0" borderId="12" xfId="0" applyNumberFormat="1" applyBorder="1"/>
    <xf numFmtId="2" fontId="0" fillId="0" borderId="13" xfId="0" applyNumberFormat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2" fontId="0" fillId="0" borderId="15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6" fillId="0" borderId="12" xfId="0" applyNumberFormat="1" applyFont="1" applyBorder="1" applyAlignment="1">
      <alignment horizontal="center"/>
    </xf>
    <xf numFmtId="0" fontId="0" fillId="0" borderId="16" xfId="0" applyBorder="1"/>
    <xf numFmtId="49" fontId="6" fillId="0" borderId="5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  <protection locked="0"/>
    </xf>
    <xf numFmtId="1" fontId="6" fillId="0" borderId="15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6" fillId="0" borderId="12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wrapText="1"/>
      <protection locked="0"/>
    </xf>
    <xf numFmtId="1" fontId="10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/>
    <xf numFmtId="0" fontId="9" fillId="0" borderId="12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/>
    <xf numFmtId="2" fontId="3" fillId="0" borderId="13" xfId="0" applyNumberFormat="1" applyFont="1" applyBorder="1"/>
    <xf numFmtId="0" fontId="0" fillId="0" borderId="0" xfId="0" applyBorder="1" applyAlignment="1"/>
    <xf numFmtId="0" fontId="3" fillId="0" borderId="0" xfId="0" applyFont="1" applyBorder="1" applyAlignment="1"/>
    <xf numFmtId="0" fontId="0" fillId="0" borderId="20" xfId="0" applyBorder="1"/>
    <xf numFmtId="0" fontId="3" fillId="0" borderId="3" xfId="0" applyFont="1" applyBorder="1"/>
    <xf numFmtId="0" fontId="3" fillId="0" borderId="21" xfId="0" applyFont="1" applyBorder="1"/>
    <xf numFmtId="0" fontId="0" fillId="0" borderId="3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3" fillId="0" borderId="25" xfId="0" applyFont="1" applyBorder="1"/>
    <xf numFmtId="0" fontId="3" fillId="0" borderId="26" xfId="0" applyFont="1" applyBorder="1"/>
    <xf numFmtId="0" fontId="3" fillId="0" borderId="24" xfId="0" applyFont="1" applyBorder="1"/>
    <xf numFmtId="0" fontId="0" fillId="0" borderId="27" xfId="0" applyBorder="1"/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3" fillId="0" borderId="16" xfId="0" applyFont="1" applyBorder="1"/>
    <xf numFmtId="0" fontId="8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Protection="1">
      <protection locked="0"/>
    </xf>
    <xf numFmtId="0" fontId="0" fillId="0" borderId="30" xfId="0" applyBorder="1"/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4" xfId="0" applyBorder="1"/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3"/>
  <sheetViews>
    <sheetView zoomScale="90" zoomScaleNormal="90" workbookViewId="0">
      <selection activeCell="I1" sqref="I1"/>
    </sheetView>
  </sheetViews>
  <sheetFormatPr defaultRowHeight="14.4" x14ac:dyDescent="0.3"/>
  <cols>
    <col min="1" max="1" width="11.88671875" customWidth="1"/>
    <col min="2" max="2" width="11.5546875" customWidth="1"/>
    <col min="3" max="3" width="7.109375" bestFit="1" customWidth="1"/>
    <col min="4" max="4" width="33.77734375" customWidth="1"/>
    <col min="5" max="5" width="10.6640625" style="11" customWidth="1"/>
    <col min="6" max="6" width="11.88671875" style="11" bestFit="1" customWidth="1"/>
    <col min="7" max="7" width="8.88671875" customWidth="1"/>
    <col min="8" max="8" width="6.77734375" bestFit="1" customWidth="1"/>
    <col min="9" max="9" width="11" bestFit="1" customWidth="1"/>
    <col min="10" max="10" width="9.33203125" bestFit="1" customWidth="1"/>
  </cols>
  <sheetData>
    <row r="1" spans="1:10" ht="28.8" customHeight="1" x14ac:dyDescent="0.3">
      <c r="A1" t="s">
        <v>0</v>
      </c>
      <c r="B1" s="106" t="s">
        <v>65</v>
      </c>
      <c r="C1" s="107"/>
      <c r="D1" s="108"/>
      <c r="E1" s="11" t="s">
        <v>23</v>
      </c>
      <c r="F1" s="10"/>
      <c r="H1" s="78" t="s">
        <v>41</v>
      </c>
      <c r="I1" s="9">
        <v>45777</v>
      </c>
    </row>
    <row r="2" spans="1:10" ht="15" thickBot="1" x14ac:dyDescent="0.35">
      <c r="B2" s="1" t="s">
        <v>38</v>
      </c>
    </row>
    <row r="3" spans="1:10" s="12" customFormat="1" ht="29.4" thickBot="1" x14ac:dyDescent="0.35">
      <c r="A3" s="99" t="s">
        <v>1</v>
      </c>
      <c r="B3" s="98" t="s">
        <v>2</v>
      </c>
      <c r="C3" s="71" t="s">
        <v>16</v>
      </c>
      <c r="D3" s="71" t="s">
        <v>3</v>
      </c>
      <c r="E3" s="72" t="s">
        <v>17</v>
      </c>
      <c r="F3" s="72" t="s">
        <v>4</v>
      </c>
      <c r="G3" s="73" t="s">
        <v>5</v>
      </c>
      <c r="H3" s="71" t="s">
        <v>6</v>
      </c>
      <c r="I3" s="71" t="s">
        <v>7</v>
      </c>
      <c r="J3" s="74" t="s">
        <v>8</v>
      </c>
    </row>
    <row r="4" spans="1:10" ht="15.6" x14ac:dyDescent="0.3">
      <c r="A4" s="85" t="s">
        <v>9</v>
      </c>
      <c r="B4" s="80" t="s">
        <v>27</v>
      </c>
      <c r="C4" s="32" t="s">
        <v>18</v>
      </c>
      <c r="D4" s="33" t="s">
        <v>51</v>
      </c>
      <c r="E4" s="34" t="s">
        <v>50</v>
      </c>
      <c r="F4" s="35">
        <f>324.7*0.026</f>
        <v>8.4421999999999997</v>
      </c>
      <c r="G4" s="8">
        <f>44.1*26/20</f>
        <v>57.330000000000005</v>
      </c>
      <c r="H4" s="8">
        <f>2.46*26/20</f>
        <v>3.198</v>
      </c>
      <c r="I4" s="8">
        <f>0.94*26/20</f>
        <v>1.222</v>
      </c>
      <c r="J4" s="19">
        <f>6.38*26/20</f>
        <v>8.2940000000000005</v>
      </c>
    </row>
    <row r="5" spans="1:10" ht="15.6" x14ac:dyDescent="0.3">
      <c r="A5" s="85"/>
      <c r="B5" s="81" t="s">
        <v>26</v>
      </c>
      <c r="C5" s="32">
        <v>41</v>
      </c>
      <c r="D5" s="33" t="s">
        <v>32</v>
      </c>
      <c r="E5" s="34" t="s">
        <v>58</v>
      </c>
      <c r="F5" s="35">
        <f>15.62*150/150</f>
        <v>15.62</v>
      </c>
      <c r="G5" s="8">
        <f>209*150/150</f>
        <v>209</v>
      </c>
      <c r="H5" s="8">
        <f>3.69*150/150</f>
        <v>3.69</v>
      </c>
      <c r="I5" s="8">
        <f>5.48*150/150</f>
        <v>5.48</v>
      </c>
      <c r="J5" s="19">
        <f>30.04*150/150</f>
        <v>30.04</v>
      </c>
    </row>
    <row r="6" spans="1:10" ht="15.6" x14ac:dyDescent="0.3">
      <c r="A6" s="85"/>
      <c r="B6" s="82" t="s">
        <v>13</v>
      </c>
      <c r="C6" s="36">
        <v>51</v>
      </c>
      <c r="D6" s="37" t="s">
        <v>42</v>
      </c>
      <c r="E6" s="75" t="s">
        <v>52</v>
      </c>
      <c r="F6" s="39">
        <f>26.61*45/45+4.05*45/45</f>
        <v>30.66</v>
      </c>
      <c r="G6" s="4">
        <f>94*90/90</f>
        <v>94</v>
      </c>
      <c r="H6" s="4">
        <f>8.67*90/90</f>
        <v>8.67</v>
      </c>
      <c r="I6" s="4">
        <f>4.47*90/90</f>
        <v>4.47</v>
      </c>
      <c r="J6" s="5">
        <f>4.67*90/90</f>
        <v>4.67</v>
      </c>
    </row>
    <row r="7" spans="1:10" ht="15.6" x14ac:dyDescent="0.3">
      <c r="A7" s="85"/>
      <c r="B7" s="81" t="s">
        <v>29</v>
      </c>
      <c r="C7" s="36">
        <v>20</v>
      </c>
      <c r="D7" s="37" t="s">
        <v>33</v>
      </c>
      <c r="E7" s="38">
        <v>200</v>
      </c>
      <c r="F7" s="39">
        <v>6.3</v>
      </c>
      <c r="G7" s="4">
        <v>51.49</v>
      </c>
      <c r="H7" s="4">
        <v>0.92</v>
      </c>
      <c r="I7" s="4">
        <v>0.69</v>
      </c>
      <c r="J7" s="5">
        <v>10.41</v>
      </c>
    </row>
    <row r="8" spans="1:10" ht="15.6" x14ac:dyDescent="0.3">
      <c r="A8" s="85"/>
      <c r="B8" s="83" t="s">
        <v>14</v>
      </c>
      <c r="C8" s="36" t="s">
        <v>18</v>
      </c>
      <c r="D8" s="37" t="s">
        <v>19</v>
      </c>
      <c r="E8" s="38">
        <v>26</v>
      </c>
      <c r="F8" s="39">
        <v>1.45</v>
      </c>
      <c r="G8" s="4">
        <f>42*26/20</f>
        <v>54.6</v>
      </c>
      <c r="H8" s="4">
        <f>0.98*26/20</f>
        <v>1.274</v>
      </c>
      <c r="I8" s="4">
        <f>0.2*26/20</f>
        <v>0.26</v>
      </c>
      <c r="J8" s="5">
        <f>8.96*26/20</f>
        <v>11.648000000000001</v>
      </c>
    </row>
    <row r="9" spans="1:10" ht="15.6" x14ac:dyDescent="0.3">
      <c r="A9" s="85"/>
      <c r="B9" s="83" t="s">
        <v>15</v>
      </c>
      <c r="C9" s="40" t="s">
        <v>18</v>
      </c>
      <c r="D9" s="37" t="s">
        <v>22</v>
      </c>
      <c r="E9" s="38">
        <v>26</v>
      </c>
      <c r="F9" s="39">
        <f>78.6*0.026</f>
        <v>2.0435999999999996</v>
      </c>
      <c r="G9" s="4">
        <f>47*26/20</f>
        <v>61.1</v>
      </c>
      <c r="H9" s="4">
        <f>1.52*26/20</f>
        <v>1.9760000000000002</v>
      </c>
      <c r="I9" s="4">
        <f>0.16*26/20</f>
        <v>0.20800000000000002</v>
      </c>
      <c r="J9" s="5">
        <f>9.84*26/20</f>
        <v>12.792</v>
      </c>
    </row>
    <row r="10" spans="1:10" ht="16.2" thickBot="1" x14ac:dyDescent="0.35">
      <c r="A10" s="86"/>
      <c r="B10" s="100"/>
      <c r="C10" s="41"/>
      <c r="D10" s="42"/>
      <c r="E10" s="43"/>
      <c r="F10" s="44">
        <f>SUM(F4:F9)</f>
        <v>64.515799999999999</v>
      </c>
      <c r="G10" s="25">
        <f>SUM(G4:G9)</f>
        <v>527.52</v>
      </c>
      <c r="H10" s="25">
        <f>SUM(H4:H9)</f>
        <v>19.728000000000002</v>
      </c>
      <c r="I10" s="25">
        <f>SUM(I4:I9)</f>
        <v>12.33</v>
      </c>
      <c r="J10" s="59">
        <f>SUM(J4:J9)</f>
        <v>77.853999999999999</v>
      </c>
    </row>
    <row r="11" spans="1:10" ht="15.6" x14ac:dyDescent="0.3">
      <c r="A11" s="105" t="s">
        <v>20</v>
      </c>
      <c r="B11" s="101" t="s">
        <v>29</v>
      </c>
      <c r="C11" s="45">
        <v>57</v>
      </c>
      <c r="D11" s="46" t="s">
        <v>30</v>
      </c>
      <c r="E11" s="47">
        <v>200</v>
      </c>
      <c r="F11" s="31">
        <v>1.1200000000000001</v>
      </c>
      <c r="G11" s="2">
        <v>41</v>
      </c>
      <c r="H11" s="2">
        <v>0</v>
      </c>
      <c r="I11" s="2">
        <v>0</v>
      </c>
      <c r="J11" s="3">
        <v>10.01</v>
      </c>
    </row>
    <row r="12" spans="1:10" ht="15.6" x14ac:dyDescent="0.3">
      <c r="A12" s="85"/>
      <c r="B12" s="102" t="s">
        <v>27</v>
      </c>
      <c r="C12" s="48" t="s">
        <v>18</v>
      </c>
      <c r="D12" s="49" t="s">
        <v>31</v>
      </c>
      <c r="E12" s="50" t="s">
        <v>53</v>
      </c>
      <c r="F12" s="39">
        <v>20.05</v>
      </c>
      <c r="G12" s="4">
        <f>96*120/100</f>
        <v>115.2</v>
      </c>
      <c r="H12" s="4">
        <f>1.5*120/100</f>
        <v>1.8</v>
      </c>
      <c r="I12" s="4">
        <f>0.5*120/100</f>
        <v>0.6</v>
      </c>
      <c r="J12" s="5">
        <f>21*120/100</f>
        <v>25.2</v>
      </c>
    </row>
    <row r="13" spans="1:10" ht="15.6" x14ac:dyDescent="0.3">
      <c r="A13" s="85"/>
      <c r="B13" s="103" t="s">
        <v>27</v>
      </c>
      <c r="C13" s="55">
        <v>44</v>
      </c>
      <c r="D13" s="56" t="s">
        <v>34</v>
      </c>
      <c r="E13" s="57" t="s">
        <v>45</v>
      </c>
      <c r="F13" s="58">
        <f>27.22/50*50</f>
        <v>27.22</v>
      </c>
      <c r="G13" s="6">
        <f>171*50/50</f>
        <v>171</v>
      </c>
      <c r="H13" s="6">
        <f>5.02*50/50</f>
        <v>5.0199999999999996</v>
      </c>
      <c r="I13" s="6">
        <f>5.41*50/50</f>
        <v>5.41</v>
      </c>
      <c r="J13" s="7">
        <f>23*50/50</f>
        <v>23</v>
      </c>
    </row>
    <row r="14" spans="1:10" ht="16.2" thickBot="1" x14ac:dyDescent="0.35">
      <c r="A14" s="86"/>
      <c r="B14" s="104"/>
      <c r="C14" s="51"/>
      <c r="D14" s="52"/>
      <c r="E14" s="53"/>
      <c r="F14" s="54">
        <f>SUM(F11:F13)</f>
        <v>48.39</v>
      </c>
      <c r="G14" s="26">
        <f>SUM(G11:G13)</f>
        <v>327.2</v>
      </c>
      <c r="H14" s="26">
        <f>SUM(H11:H13)</f>
        <v>6.8199999999999994</v>
      </c>
      <c r="I14" s="26">
        <f>SUM(I11:I13)</f>
        <v>6.01</v>
      </c>
      <c r="J14" s="27">
        <f>SUM(J11:J13)</f>
        <v>58.21</v>
      </c>
    </row>
    <row r="15" spans="1:10" ht="15.6" x14ac:dyDescent="0.3">
      <c r="A15" s="105" t="s">
        <v>10</v>
      </c>
      <c r="B15" s="101" t="s">
        <v>11</v>
      </c>
      <c r="C15" s="45">
        <v>1</v>
      </c>
      <c r="D15" s="46" t="s">
        <v>43</v>
      </c>
      <c r="E15" s="30" t="s">
        <v>56</v>
      </c>
      <c r="F15" s="31">
        <f>20.42*70/60</f>
        <v>23.823333333333334</v>
      </c>
      <c r="G15" s="2">
        <f>24*70/60</f>
        <v>28</v>
      </c>
      <c r="H15" s="2">
        <f>1.86*70/60</f>
        <v>2.1700000000000004</v>
      </c>
      <c r="I15" s="2">
        <f>0.12*70/60</f>
        <v>0.14000000000000001</v>
      </c>
      <c r="J15" s="3">
        <f>3.9*70/60</f>
        <v>4.55</v>
      </c>
    </row>
    <row r="16" spans="1:10" ht="15.6" x14ac:dyDescent="0.3">
      <c r="A16" s="85"/>
      <c r="B16" s="83" t="s">
        <v>12</v>
      </c>
      <c r="C16" s="48">
        <v>10</v>
      </c>
      <c r="D16" s="49" t="s">
        <v>55</v>
      </c>
      <c r="E16" s="50" t="s">
        <v>54</v>
      </c>
      <c r="F16" s="39">
        <f>15.69*240/245+1.92+5.88*0.5</f>
        <v>20.229795918367348</v>
      </c>
      <c r="G16" s="4">
        <v>118</v>
      </c>
      <c r="H16" s="4">
        <v>2.2200000000000002</v>
      </c>
      <c r="I16" s="4">
        <v>4.83</v>
      </c>
      <c r="J16" s="5">
        <v>11.84</v>
      </c>
    </row>
    <row r="17" spans="1:10" ht="15.6" x14ac:dyDescent="0.3">
      <c r="A17" s="85"/>
      <c r="B17" s="83" t="s">
        <v>13</v>
      </c>
      <c r="C17" s="48">
        <v>23</v>
      </c>
      <c r="D17" s="49" t="s">
        <v>35</v>
      </c>
      <c r="E17" s="50" t="s">
        <v>48</v>
      </c>
      <c r="F17" s="39">
        <f>41.72*37/51+11.8*203/189</f>
        <v>42.941525054466226</v>
      </c>
      <c r="G17" s="4">
        <v>376</v>
      </c>
      <c r="H17" s="4">
        <v>9.58</v>
      </c>
      <c r="I17" s="4">
        <v>12.59</v>
      </c>
      <c r="J17" s="5">
        <v>56.03</v>
      </c>
    </row>
    <row r="18" spans="1:10" ht="15.6" x14ac:dyDescent="0.3">
      <c r="A18" s="85"/>
      <c r="B18" s="83" t="s">
        <v>21</v>
      </c>
      <c r="C18" s="48">
        <v>35</v>
      </c>
      <c r="D18" s="49" t="s">
        <v>36</v>
      </c>
      <c r="E18" s="50" t="s">
        <v>28</v>
      </c>
      <c r="F18" s="39">
        <v>5.62</v>
      </c>
      <c r="G18" s="4">
        <v>97</v>
      </c>
      <c r="H18" s="4">
        <v>0.68</v>
      </c>
      <c r="I18" s="4">
        <v>0.28000000000000003</v>
      </c>
      <c r="J18" s="5">
        <v>19.64</v>
      </c>
    </row>
    <row r="19" spans="1:10" ht="15.6" x14ac:dyDescent="0.3">
      <c r="A19" s="85"/>
      <c r="B19" s="83" t="s">
        <v>14</v>
      </c>
      <c r="C19" s="48" t="s">
        <v>18</v>
      </c>
      <c r="D19" s="49" t="s">
        <v>19</v>
      </c>
      <c r="E19" s="50" t="s">
        <v>63</v>
      </c>
      <c r="F19" s="39">
        <v>1.74</v>
      </c>
      <c r="G19" s="4">
        <f>63*31/30</f>
        <v>65.099999999999994</v>
      </c>
      <c r="H19" s="4">
        <f>1.47*31/30</f>
        <v>1.5189999999999999</v>
      </c>
      <c r="I19" s="4">
        <f>0.3*31/30</f>
        <v>0.30999999999999994</v>
      </c>
      <c r="J19" s="5">
        <f>13.44*31/30</f>
        <v>13.888</v>
      </c>
    </row>
    <row r="20" spans="1:10" ht="15.6" x14ac:dyDescent="0.3">
      <c r="A20" s="85"/>
      <c r="B20" s="83" t="s">
        <v>15</v>
      </c>
      <c r="C20" s="55" t="s">
        <v>18</v>
      </c>
      <c r="D20" s="56" t="s">
        <v>22</v>
      </c>
      <c r="E20" s="57" t="s">
        <v>63</v>
      </c>
      <c r="F20" s="58">
        <f>78.6*0.031</f>
        <v>2.4365999999999999</v>
      </c>
      <c r="G20" s="6">
        <f>70.5*31/30</f>
        <v>72.849999999999994</v>
      </c>
      <c r="H20" s="6">
        <f>2.28*31/30</f>
        <v>2.3559999999999999</v>
      </c>
      <c r="I20" s="6">
        <f>0.24*31/30</f>
        <v>0.24799999999999997</v>
      </c>
      <c r="J20" s="7">
        <f>14.76*31/30</f>
        <v>15.252000000000001</v>
      </c>
    </row>
    <row r="21" spans="1:10" ht="16.2" thickBot="1" x14ac:dyDescent="0.35">
      <c r="A21" s="86"/>
      <c r="B21" s="104"/>
      <c r="C21" s="20"/>
      <c r="D21" s="20"/>
      <c r="E21" s="24"/>
      <c r="F21" s="28">
        <f>SUM(F15:F20)</f>
        <v>96.791254306166906</v>
      </c>
      <c r="G21" s="21">
        <f>SUM(G15:G20)</f>
        <v>756.95</v>
      </c>
      <c r="H21" s="21">
        <f>SUM(H15:H20)</f>
        <v>18.524999999999999</v>
      </c>
      <c r="I21" s="21">
        <f>SUM(I15:I20)</f>
        <v>18.398</v>
      </c>
      <c r="J21" s="22">
        <f>SUM(J15:J20)</f>
        <v>121.2</v>
      </c>
    </row>
    <row r="22" spans="1:10" ht="16.2" thickBot="1" x14ac:dyDescent="0.35">
      <c r="A22" s="85"/>
      <c r="B22" s="1" t="s">
        <v>39</v>
      </c>
      <c r="E22" s="23"/>
      <c r="F22" s="23"/>
    </row>
    <row r="23" spans="1:10" ht="29.4" thickBot="1" x14ac:dyDescent="0.35">
      <c r="A23" s="99" t="s">
        <v>1</v>
      </c>
      <c r="B23" s="98" t="s">
        <v>2</v>
      </c>
      <c r="C23" s="71" t="s">
        <v>16</v>
      </c>
      <c r="D23" s="71" t="s">
        <v>3</v>
      </c>
      <c r="E23" s="72" t="s">
        <v>17</v>
      </c>
      <c r="F23" s="72" t="s">
        <v>4</v>
      </c>
      <c r="G23" s="73" t="s">
        <v>5</v>
      </c>
      <c r="H23" s="71" t="s">
        <v>6</v>
      </c>
      <c r="I23" s="71" t="s">
        <v>7</v>
      </c>
      <c r="J23" s="74" t="s">
        <v>8</v>
      </c>
    </row>
    <row r="24" spans="1:10" ht="15.6" x14ac:dyDescent="0.3">
      <c r="A24" s="85" t="s">
        <v>9</v>
      </c>
      <c r="B24" s="80" t="s">
        <v>27</v>
      </c>
      <c r="C24" s="32" t="s">
        <v>18</v>
      </c>
      <c r="D24" s="33" t="s">
        <v>51</v>
      </c>
      <c r="E24" s="34" t="s">
        <v>50</v>
      </c>
      <c r="F24" s="35">
        <f>324.7*0.026</f>
        <v>8.4421999999999997</v>
      </c>
      <c r="G24" s="8">
        <f>44.1*26/20</f>
        <v>57.330000000000005</v>
      </c>
      <c r="H24" s="8">
        <f>2.46*26/20</f>
        <v>3.198</v>
      </c>
      <c r="I24" s="8">
        <f>0.94*26/20</f>
        <v>1.222</v>
      </c>
      <c r="J24" s="19">
        <f>6.38*26/20</f>
        <v>8.2940000000000005</v>
      </c>
    </row>
    <row r="25" spans="1:10" ht="15.6" x14ac:dyDescent="0.3">
      <c r="A25" s="85"/>
      <c r="B25" s="81" t="s">
        <v>26</v>
      </c>
      <c r="C25" s="32">
        <v>41</v>
      </c>
      <c r="D25" s="33" t="s">
        <v>32</v>
      </c>
      <c r="E25" s="34" t="s">
        <v>59</v>
      </c>
      <c r="F25" s="35">
        <f>18.26*180/180</f>
        <v>18.260000000000002</v>
      </c>
      <c r="G25" s="8">
        <f>250.8/180*180</f>
        <v>250.79999999999998</v>
      </c>
      <c r="H25" s="8">
        <f>4.43/180*180</f>
        <v>4.43</v>
      </c>
      <c r="I25" s="8">
        <f>6.58/180*180</f>
        <v>6.58</v>
      </c>
      <c r="J25" s="19">
        <f>36.05/180*180</f>
        <v>36.049999999999997</v>
      </c>
    </row>
    <row r="26" spans="1:10" ht="15.6" x14ac:dyDescent="0.3">
      <c r="A26" s="85"/>
      <c r="B26" s="82" t="s">
        <v>13</v>
      </c>
      <c r="C26" s="36">
        <v>51</v>
      </c>
      <c r="D26" s="37" t="s">
        <v>42</v>
      </c>
      <c r="E26" s="75" t="s">
        <v>40</v>
      </c>
      <c r="F26" s="39">
        <f>29.41*55/50+4.52*55/50</f>
        <v>37.323</v>
      </c>
      <c r="G26" s="4">
        <f>104.44*110/100</f>
        <v>114.884</v>
      </c>
      <c r="H26" s="4">
        <f>9.63*110/100</f>
        <v>10.593000000000002</v>
      </c>
      <c r="I26" s="4">
        <f>4.97*110/100</f>
        <v>5.4669999999999996</v>
      </c>
      <c r="J26" s="5">
        <f>5.19*110/100</f>
        <v>5.7090000000000005</v>
      </c>
    </row>
    <row r="27" spans="1:10" ht="15.6" x14ac:dyDescent="0.3">
      <c r="A27" s="85"/>
      <c r="B27" s="81" t="s">
        <v>29</v>
      </c>
      <c r="C27" s="36">
        <v>20</v>
      </c>
      <c r="D27" s="37" t="s">
        <v>33</v>
      </c>
      <c r="E27" s="38">
        <v>200</v>
      </c>
      <c r="F27" s="39">
        <v>6.3</v>
      </c>
      <c r="G27" s="4">
        <v>51.49</v>
      </c>
      <c r="H27" s="4">
        <v>0.92</v>
      </c>
      <c r="I27" s="4">
        <v>0.69</v>
      </c>
      <c r="J27" s="5">
        <v>10.41</v>
      </c>
    </row>
    <row r="28" spans="1:10" ht="15.6" x14ac:dyDescent="0.3">
      <c r="A28" s="85"/>
      <c r="B28" s="83" t="s">
        <v>14</v>
      </c>
      <c r="C28" s="36" t="s">
        <v>18</v>
      </c>
      <c r="D28" s="37" t="s">
        <v>19</v>
      </c>
      <c r="E28" s="38">
        <v>34</v>
      </c>
      <c r="F28" s="39">
        <v>1.94</v>
      </c>
      <c r="G28" s="4">
        <f>42*34/20</f>
        <v>71.400000000000006</v>
      </c>
      <c r="H28" s="4">
        <f>0.98*34/20</f>
        <v>1.6659999999999999</v>
      </c>
      <c r="I28" s="4">
        <f>0.2*34/20</f>
        <v>0.34</v>
      </c>
      <c r="J28" s="5">
        <f>8.96*34/20</f>
        <v>15.232000000000003</v>
      </c>
    </row>
    <row r="29" spans="1:10" ht="15.6" x14ac:dyDescent="0.3">
      <c r="A29" s="85"/>
      <c r="B29" s="83" t="s">
        <v>15</v>
      </c>
      <c r="C29" s="40" t="s">
        <v>18</v>
      </c>
      <c r="D29" s="37" t="s">
        <v>22</v>
      </c>
      <c r="E29" s="38">
        <v>35</v>
      </c>
      <c r="F29" s="39">
        <f>78.6*0.035</f>
        <v>2.7509999999999999</v>
      </c>
      <c r="G29" s="4">
        <f>47*35/20</f>
        <v>82.25</v>
      </c>
      <c r="H29" s="4">
        <f>1.52*35/20</f>
        <v>2.66</v>
      </c>
      <c r="I29" s="4">
        <f>0.16*35/20</f>
        <v>0.28000000000000003</v>
      </c>
      <c r="J29" s="5">
        <f>9.84*35/20</f>
        <v>17.22</v>
      </c>
    </row>
    <row r="30" spans="1:10" ht="16.2" thickBot="1" x14ac:dyDescent="0.35">
      <c r="A30" s="86"/>
      <c r="B30" s="100"/>
      <c r="C30" s="41"/>
      <c r="D30" s="42"/>
      <c r="E30" s="43"/>
      <c r="F30" s="44">
        <f>SUM(F24:F29)</f>
        <v>75.016199999999998</v>
      </c>
      <c r="G30" s="25">
        <f>SUM(G24:G29)</f>
        <v>628.154</v>
      </c>
      <c r="H30" s="25">
        <f>SUM(H24:H29)</f>
        <v>23.467000000000006</v>
      </c>
      <c r="I30" s="25">
        <f>SUM(I24:I29)</f>
        <v>14.578999999999997</v>
      </c>
      <c r="J30" s="59">
        <f>SUM(J24:J29)</f>
        <v>92.914999999999992</v>
      </c>
    </row>
    <row r="31" spans="1:10" ht="14.4" customHeight="1" x14ac:dyDescent="0.3">
      <c r="A31" s="105" t="s">
        <v>20</v>
      </c>
      <c r="B31" s="101" t="s">
        <v>29</v>
      </c>
      <c r="C31" s="45">
        <v>57</v>
      </c>
      <c r="D31" s="46" t="s">
        <v>30</v>
      </c>
      <c r="E31" s="47">
        <v>200</v>
      </c>
      <c r="F31" s="31">
        <v>1.1200000000000001</v>
      </c>
      <c r="G31" s="2">
        <v>41</v>
      </c>
      <c r="H31" s="2">
        <v>0</v>
      </c>
      <c r="I31" s="2">
        <v>0</v>
      </c>
      <c r="J31" s="3">
        <v>10.01</v>
      </c>
    </row>
    <row r="32" spans="1:10" ht="15.6" x14ac:dyDescent="0.3">
      <c r="A32" s="85"/>
      <c r="B32" s="102" t="s">
        <v>27</v>
      </c>
      <c r="C32" s="48" t="s">
        <v>18</v>
      </c>
      <c r="D32" s="49" t="s">
        <v>31</v>
      </c>
      <c r="E32" s="50" t="s">
        <v>53</v>
      </c>
      <c r="F32" s="39">
        <v>20.05</v>
      </c>
      <c r="G32" s="4">
        <f>96*120/100</f>
        <v>115.2</v>
      </c>
      <c r="H32" s="4">
        <f>1.5*120/100</f>
        <v>1.8</v>
      </c>
      <c r="I32" s="4">
        <f>0.5*120/100</f>
        <v>0.6</v>
      </c>
      <c r="J32" s="5">
        <f>21*120/100</f>
        <v>25.2</v>
      </c>
    </row>
    <row r="33" spans="1:10" ht="15.6" x14ac:dyDescent="0.3">
      <c r="A33" s="85"/>
      <c r="B33" s="103" t="s">
        <v>27</v>
      </c>
      <c r="C33" s="55">
        <v>44</v>
      </c>
      <c r="D33" s="56" t="s">
        <v>34</v>
      </c>
      <c r="E33" s="57" t="s">
        <v>46</v>
      </c>
      <c r="F33" s="58">
        <v>35.090000000000003</v>
      </c>
      <c r="G33" s="6">
        <f>171*65/50</f>
        <v>222.3</v>
      </c>
      <c r="H33" s="6">
        <f>5.02*65/50</f>
        <v>6.5259999999999989</v>
      </c>
      <c r="I33" s="6">
        <f>5.41*65/50</f>
        <v>7.0330000000000004</v>
      </c>
      <c r="J33" s="7">
        <f>23*65/50</f>
        <v>29.9</v>
      </c>
    </row>
    <row r="34" spans="1:10" ht="16.2" thickBot="1" x14ac:dyDescent="0.35">
      <c r="A34" s="86"/>
      <c r="B34" s="104"/>
      <c r="C34" s="51"/>
      <c r="D34" s="52"/>
      <c r="E34" s="53"/>
      <c r="F34" s="54">
        <f>SUM(F31:F33)</f>
        <v>56.260000000000005</v>
      </c>
      <c r="G34" s="26">
        <f>SUM(G31:G33)</f>
        <v>378.5</v>
      </c>
      <c r="H34" s="26">
        <f>SUM(H31:H33)</f>
        <v>8.3259999999999987</v>
      </c>
      <c r="I34" s="26">
        <f>SUM(I31:I33)</f>
        <v>7.633</v>
      </c>
      <c r="J34" s="27">
        <f>SUM(J31:J33)</f>
        <v>65.11</v>
      </c>
    </row>
    <row r="35" spans="1:10" ht="15.6" x14ac:dyDescent="0.3">
      <c r="A35" s="105" t="s">
        <v>10</v>
      </c>
      <c r="B35" s="101" t="s">
        <v>11</v>
      </c>
      <c r="C35" s="45">
        <v>1</v>
      </c>
      <c r="D35" s="46" t="s">
        <v>43</v>
      </c>
      <c r="E35" s="30" t="s">
        <v>37</v>
      </c>
      <c r="F35" s="31">
        <v>34.03</v>
      </c>
      <c r="G35" s="2">
        <v>24</v>
      </c>
      <c r="H35" s="2">
        <v>1.86</v>
      </c>
      <c r="I35" s="2">
        <v>0.12</v>
      </c>
      <c r="J35" s="3">
        <v>3.9</v>
      </c>
    </row>
    <row r="36" spans="1:10" ht="15.6" x14ac:dyDescent="0.3">
      <c r="A36" s="85"/>
      <c r="B36" s="83" t="s">
        <v>12</v>
      </c>
      <c r="C36" s="48">
        <v>10</v>
      </c>
      <c r="D36" s="49" t="s">
        <v>55</v>
      </c>
      <c r="E36" s="50" t="s">
        <v>60</v>
      </c>
      <c r="F36" s="39">
        <f>15.69*240/245+1.92+5.88*0.5</f>
        <v>20.229795918367348</v>
      </c>
      <c r="G36" s="4">
        <v>118</v>
      </c>
      <c r="H36" s="4">
        <v>2.2200000000000002</v>
      </c>
      <c r="I36" s="4">
        <v>4.83</v>
      </c>
      <c r="J36" s="5">
        <v>11.84</v>
      </c>
    </row>
    <row r="37" spans="1:10" ht="15.6" x14ac:dyDescent="0.3">
      <c r="A37" s="85"/>
      <c r="B37" s="83" t="s">
        <v>13</v>
      </c>
      <c r="C37" s="48">
        <v>23</v>
      </c>
      <c r="D37" s="49" t="s">
        <v>35</v>
      </c>
      <c r="E37" s="50" t="s">
        <v>49</v>
      </c>
      <c r="F37" s="39">
        <f>49.04*40/60+14.19*240/220</f>
        <v>48.173333333333332</v>
      </c>
      <c r="G37" s="4">
        <v>438.67</v>
      </c>
      <c r="H37" s="4">
        <v>11.18</v>
      </c>
      <c r="I37" s="4">
        <v>14.68</v>
      </c>
      <c r="J37" s="5">
        <v>65.36</v>
      </c>
    </row>
    <row r="38" spans="1:10" ht="15.6" x14ac:dyDescent="0.3">
      <c r="A38" s="85"/>
      <c r="B38" s="83" t="s">
        <v>21</v>
      </c>
      <c r="C38" s="48">
        <v>35</v>
      </c>
      <c r="D38" s="49" t="s">
        <v>36</v>
      </c>
      <c r="E38" s="50" t="s">
        <v>28</v>
      </c>
      <c r="F38" s="39">
        <v>5.62</v>
      </c>
      <c r="G38" s="4">
        <v>97</v>
      </c>
      <c r="H38" s="4">
        <v>0.68</v>
      </c>
      <c r="I38" s="4">
        <v>0.28000000000000003</v>
      </c>
      <c r="J38" s="5">
        <v>19.64</v>
      </c>
    </row>
    <row r="39" spans="1:10" ht="15.6" x14ac:dyDescent="0.3">
      <c r="A39" s="85"/>
      <c r="B39" s="83" t="s">
        <v>15</v>
      </c>
      <c r="C39" s="48" t="s">
        <v>18</v>
      </c>
      <c r="D39" s="49" t="s">
        <v>19</v>
      </c>
      <c r="E39" s="50" t="s">
        <v>64</v>
      </c>
      <c r="F39" s="39">
        <v>1.87</v>
      </c>
      <c r="G39" s="4">
        <f>63*33/30</f>
        <v>69.3</v>
      </c>
      <c r="H39" s="4">
        <f>1.47*33/30</f>
        <v>1.617</v>
      </c>
      <c r="I39" s="4">
        <f>0.3*33/30</f>
        <v>0.33</v>
      </c>
      <c r="J39" s="5">
        <f>13.44*33/30</f>
        <v>14.783999999999999</v>
      </c>
    </row>
    <row r="40" spans="1:10" ht="15.6" x14ac:dyDescent="0.3">
      <c r="A40" s="85"/>
      <c r="B40" s="84" t="s">
        <v>14</v>
      </c>
      <c r="C40" s="55" t="s">
        <v>18</v>
      </c>
      <c r="D40" s="56" t="s">
        <v>22</v>
      </c>
      <c r="E40" s="50" t="s">
        <v>64</v>
      </c>
      <c r="F40" s="39">
        <f>78.6*0.033</f>
        <v>2.5937999999999999</v>
      </c>
      <c r="G40" s="4">
        <f>70.5*33/30</f>
        <v>77.55</v>
      </c>
      <c r="H40" s="4">
        <f>2.28*33/30</f>
        <v>2.508</v>
      </c>
      <c r="I40" s="4">
        <f>0.24*33/30</f>
        <v>0.26400000000000001</v>
      </c>
      <c r="J40" s="5">
        <f>14.76*33/30</f>
        <v>16.236000000000001</v>
      </c>
    </row>
    <row r="41" spans="1:10" s="14" customFormat="1" ht="16.2" thickBot="1" x14ac:dyDescent="0.35">
      <c r="A41" s="86"/>
      <c r="B41" s="104"/>
      <c r="C41" s="20"/>
      <c r="D41" s="20"/>
      <c r="E41" s="24"/>
      <c r="F41" s="28">
        <f>SUM(F35:F40)</f>
        <v>112.51692925170069</v>
      </c>
      <c r="G41" s="21">
        <f>SUM(G35:G40)</f>
        <v>824.52</v>
      </c>
      <c r="H41" s="21">
        <f>SUM(H35:H40)</f>
        <v>20.064999999999998</v>
      </c>
      <c r="I41" s="21">
        <f>SUM(I35:I40)</f>
        <v>20.503999999999998</v>
      </c>
      <c r="J41" s="22">
        <f>SUM(J35:J40)</f>
        <v>131.76</v>
      </c>
    </row>
    <row r="42" spans="1:10" ht="20.399999999999999" customHeight="1" x14ac:dyDescent="0.3">
      <c r="A42" s="13" t="s">
        <v>47</v>
      </c>
    </row>
    <row r="43" spans="1:10" ht="23.4" customHeight="1" x14ac:dyDescent="0.3">
      <c r="A43" s="13" t="s">
        <v>24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2" fitToHeight="0" orientation="portrait" r:id="rId1"/>
  <ignoredErrors>
    <ignoredError sqref="G30 G14: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tabSelected="1" zoomScaleNormal="100" workbookViewId="0">
      <selection activeCell="I1" sqref="I1"/>
    </sheetView>
  </sheetViews>
  <sheetFormatPr defaultRowHeight="14.4" x14ac:dyDescent="0.3"/>
  <cols>
    <col min="1" max="1" width="11.6640625" style="14" customWidth="1"/>
    <col min="2" max="2" width="12.6640625" style="14" customWidth="1"/>
    <col min="3" max="3" width="7.109375" style="14" bestFit="1" customWidth="1"/>
    <col min="4" max="4" width="26" style="14" customWidth="1"/>
    <col min="5" max="5" width="9.77734375" style="15" bestFit="1" customWidth="1"/>
    <col min="6" max="6" width="7.44140625" style="15" customWidth="1"/>
    <col min="7" max="7" width="8.109375" style="14" customWidth="1"/>
    <col min="8" max="8" width="6.77734375" style="14" bestFit="1" customWidth="1"/>
    <col min="9" max="9" width="12.5546875" style="14" customWidth="1"/>
    <col min="10" max="10" width="9.33203125" style="14" bestFit="1" customWidth="1"/>
    <col min="11" max="16384" width="8.88671875" style="14"/>
  </cols>
  <sheetData>
    <row r="1" spans="1:10" ht="28.8" customHeight="1" x14ac:dyDescent="0.3">
      <c r="A1" s="14" t="s">
        <v>0</v>
      </c>
      <c r="B1" s="106" t="s">
        <v>65</v>
      </c>
      <c r="C1" s="107"/>
      <c r="D1" s="108"/>
      <c r="E1" s="15" t="s">
        <v>23</v>
      </c>
      <c r="F1" s="16"/>
      <c r="H1" s="79" t="s">
        <v>41</v>
      </c>
      <c r="I1" s="9">
        <v>45777</v>
      </c>
    </row>
    <row r="2" spans="1:10" ht="15" thickBot="1" x14ac:dyDescent="0.35">
      <c r="B2" s="17" t="s">
        <v>25</v>
      </c>
    </row>
    <row r="3" spans="1:10" s="18" customFormat="1" ht="29.4" thickBot="1" x14ac:dyDescent="0.35">
      <c r="A3" s="97" t="s">
        <v>1</v>
      </c>
      <c r="B3" s="96" t="s">
        <v>2</v>
      </c>
      <c r="C3" s="60" t="s">
        <v>16</v>
      </c>
      <c r="D3" s="60" t="s">
        <v>3</v>
      </c>
      <c r="E3" s="61" t="s">
        <v>17</v>
      </c>
      <c r="F3" s="61" t="s">
        <v>4</v>
      </c>
      <c r="G3" s="62" t="s">
        <v>5</v>
      </c>
      <c r="H3" s="60" t="s">
        <v>6</v>
      </c>
      <c r="I3" s="60" t="s">
        <v>7</v>
      </c>
      <c r="J3" s="63" t="s">
        <v>8</v>
      </c>
    </row>
    <row r="4" spans="1:10" s="18" customFormat="1" ht="15.6" x14ac:dyDescent="0.3">
      <c r="A4" s="109"/>
      <c r="B4" s="90" t="s">
        <v>27</v>
      </c>
      <c r="C4" s="91" t="s">
        <v>18</v>
      </c>
      <c r="D4" s="92" t="s">
        <v>51</v>
      </c>
      <c r="E4" s="30" t="s">
        <v>50</v>
      </c>
      <c r="F4" s="31">
        <f>324.7*1.33*0.026</f>
        <v>11.228126</v>
      </c>
      <c r="G4" s="8">
        <f>44.1*26/20</f>
        <v>57.330000000000005</v>
      </c>
      <c r="H4" s="8">
        <f>2.46*26/20</f>
        <v>3.198</v>
      </c>
      <c r="I4" s="8">
        <f>0.94*26/20</f>
        <v>1.222</v>
      </c>
      <c r="J4" s="19">
        <f>6.38*26/20</f>
        <v>8.2940000000000005</v>
      </c>
    </row>
    <row r="5" spans="1:10" ht="16.2" customHeight="1" x14ac:dyDescent="0.3">
      <c r="A5" s="110"/>
      <c r="B5" s="93" t="s">
        <v>26</v>
      </c>
      <c r="C5" s="32">
        <v>41</v>
      </c>
      <c r="D5" s="33" t="s">
        <v>32</v>
      </c>
      <c r="E5" s="34" t="s">
        <v>58</v>
      </c>
      <c r="F5" s="35">
        <f>20.77*150/150</f>
        <v>20.77</v>
      </c>
      <c r="G5" s="8">
        <f>209*150/150</f>
        <v>209</v>
      </c>
      <c r="H5" s="8">
        <f>3.69*150/150</f>
        <v>3.69</v>
      </c>
      <c r="I5" s="8">
        <f>5.48*150/150</f>
        <v>5.48</v>
      </c>
      <c r="J5" s="19">
        <f>30.04*150/150</f>
        <v>30.04</v>
      </c>
    </row>
    <row r="6" spans="1:10" ht="28.8" x14ac:dyDescent="0.3">
      <c r="A6" s="85"/>
      <c r="B6" s="93" t="s">
        <v>13</v>
      </c>
      <c r="C6" s="36">
        <v>51</v>
      </c>
      <c r="D6" s="37" t="s">
        <v>42</v>
      </c>
      <c r="E6" s="75" t="s">
        <v>52</v>
      </c>
      <c r="F6" s="39">
        <f>35.39*45/45+5.39*45/45</f>
        <v>40.78</v>
      </c>
      <c r="G6" s="4">
        <f>94*90/90</f>
        <v>94</v>
      </c>
      <c r="H6" s="4">
        <f>8.67*90/90</f>
        <v>8.67</v>
      </c>
      <c r="I6" s="4">
        <f>4.47*90/90</f>
        <v>4.47</v>
      </c>
      <c r="J6" s="5">
        <f>4.67*90/90</f>
        <v>4.67</v>
      </c>
    </row>
    <row r="7" spans="1:10" ht="15.6" x14ac:dyDescent="0.3">
      <c r="A7" s="85"/>
      <c r="B7" s="93" t="s">
        <v>29</v>
      </c>
      <c r="C7" s="36">
        <v>20</v>
      </c>
      <c r="D7" s="37" t="s">
        <v>33</v>
      </c>
      <c r="E7" s="38">
        <v>200</v>
      </c>
      <c r="F7" s="39">
        <v>8.3800000000000008</v>
      </c>
      <c r="G7" s="4">
        <v>51.49</v>
      </c>
      <c r="H7" s="4">
        <v>0.92</v>
      </c>
      <c r="I7" s="4">
        <v>0.69</v>
      </c>
      <c r="J7" s="5">
        <v>10.41</v>
      </c>
    </row>
    <row r="8" spans="1:10" ht="15.6" x14ac:dyDescent="0.3">
      <c r="A8" s="85"/>
      <c r="B8" s="29" t="s">
        <v>14</v>
      </c>
      <c r="C8" s="36" t="s">
        <v>18</v>
      </c>
      <c r="D8" s="37" t="s">
        <v>19</v>
      </c>
      <c r="E8" s="38">
        <v>30</v>
      </c>
      <c r="F8" s="39">
        <v>2.0099999999999998</v>
      </c>
      <c r="G8" s="4">
        <f>42*30/20</f>
        <v>63</v>
      </c>
      <c r="H8" s="4">
        <f>0.98*30/20</f>
        <v>1.47</v>
      </c>
      <c r="I8" s="4">
        <f>0.2*30/20</f>
        <v>0.3</v>
      </c>
      <c r="J8" s="5">
        <f>8.96*30/20</f>
        <v>13.440000000000001</v>
      </c>
    </row>
    <row r="9" spans="1:10" ht="15.6" x14ac:dyDescent="0.3">
      <c r="A9" s="85"/>
      <c r="B9" s="29" t="s">
        <v>15</v>
      </c>
      <c r="C9" s="40" t="s">
        <v>18</v>
      </c>
      <c r="D9" s="37" t="s">
        <v>22</v>
      </c>
      <c r="E9" s="38">
        <v>30</v>
      </c>
      <c r="F9" s="39">
        <f>94.32*0.03</f>
        <v>2.8295999999999997</v>
      </c>
      <c r="G9" s="4">
        <f>47*30/20</f>
        <v>70.5</v>
      </c>
      <c r="H9" s="4">
        <f>1.52*30/20</f>
        <v>2.2800000000000002</v>
      </c>
      <c r="I9" s="4">
        <f>0.16*30/20</f>
        <v>0.24</v>
      </c>
      <c r="J9" s="5">
        <f>9.84*30/20</f>
        <v>14.76</v>
      </c>
    </row>
    <row r="10" spans="1:10" ht="16.2" thickBot="1" x14ac:dyDescent="0.35">
      <c r="A10" s="86"/>
      <c r="B10" s="94"/>
      <c r="C10" s="64"/>
      <c r="D10" s="65"/>
      <c r="E10" s="66"/>
      <c r="F10" s="70">
        <f>SUM(F4:F9)</f>
        <v>85.997726</v>
      </c>
      <c r="G10" s="26">
        <f>SUM(G4:G9)</f>
        <v>545.31999999999994</v>
      </c>
      <c r="H10" s="26">
        <f>SUM(H4:H9)</f>
        <v>20.228000000000002</v>
      </c>
      <c r="I10" s="26">
        <f>SUM(I4:I9)</f>
        <v>12.402000000000001</v>
      </c>
      <c r="J10" s="27">
        <f>SUM(J4:J9)</f>
        <v>81.614000000000004</v>
      </c>
    </row>
    <row r="11" spans="1:10" ht="15.6" x14ac:dyDescent="0.3">
      <c r="A11" s="87"/>
      <c r="B11" s="90" t="s">
        <v>11</v>
      </c>
      <c r="C11" s="45">
        <v>1</v>
      </c>
      <c r="D11" s="46" t="s">
        <v>43</v>
      </c>
      <c r="E11" s="30" t="s">
        <v>45</v>
      </c>
      <c r="F11" s="31">
        <f>45.26/100*50</f>
        <v>22.63</v>
      </c>
      <c r="G11" s="2">
        <f>24*50/60</f>
        <v>20</v>
      </c>
      <c r="H11" s="2">
        <f>1.86*50/60</f>
        <v>1.55</v>
      </c>
      <c r="I11" s="2">
        <f>0.12*50/60</f>
        <v>0.1</v>
      </c>
      <c r="J11" s="3">
        <f>3.9*50/60</f>
        <v>3.25</v>
      </c>
    </row>
    <row r="12" spans="1:10" ht="15.6" x14ac:dyDescent="0.3">
      <c r="A12" s="87"/>
      <c r="B12" s="29" t="s">
        <v>13</v>
      </c>
      <c r="C12" s="48">
        <v>23</v>
      </c>
      <c r="D12" s="49" t="s">
        <v>35</v>
      </c>
      <c r="E12" s="50" t="s">
        <v>48</v>
      </c>
      <c r="F12" s="39">
        <f>55.49*37/51+15.69*203/189</f>
        <v>57.109673202614374</v>
      </c>
      <c r="G12" s="4">
        <v>376</v>
      </c>
      <c r="H12" s="4">
        <v>9.58</v>
      </c>
      <c r="I12" s="4">
        <v>12.59</v>
      </c>
      <c r="J12" s="5">
        <v>56.03</v>
      </c>
    </row>
    <row r="13" spans="1:10" ht="15.6" x14ac:dyDescent="0.3">
      <c r="A13" s="87"/>
      <c r="B13" s="29" t="s">
        <v>21</v>
      </c>
      <c r="C13" s="48">
        <v>35</v>
      </c>
      <c r="D13" s="49" t="s">
        <v>36</v>
      </c>
      <c r="E13" s="50" t="s">
        <v>28</v>
      </c>
      <c r="F13" s="39">
        <v>7.48</v>
      </c>
      <c r="G13" s="4">
        <v>97</v>
      </c>
      <c r="H13" s="4">
        <v>0.68</v>
      </c>
      <c r="I13" s="4">
        <v>0.28000000000000003</v>
      </c>
      <c r="J13" s="5">
        <v>19.64</v>
      </c>
    </row>
    <row r="14" spans="1:10" ht="15.6" x14ac:dyDescent="0.3">
      <c r="A14" s="87"/>
      <c r="B14" s="29" t="s">
        <v>14</v>
      </c>
      <c r="C14" s="55" t="s">
        <v>18</v>
      </c>
      <c r="D14" s="56" t="s">
        <v>22</v>
      </c>
      <c r="E14" s="38">
        <v>29</v>
      </c>
      <c r="F14" s="39">
        <v>2.78</v>
      </c>
      <c r="G14" s="4">
        <f>47*29/20</f>
        <v>68.150000000000006</v>
      </c>
      <c r="H14" s="4">
        <f>1.52*29/20</f>
        <v>2.2039999999999997</v>
      </c>
      <c r="I14" s="4">
        <f>0.16*29/20</f>
        <v>0.23199999999999998</v>
      </c>
      <c r="J14" s="5">
        <f>9.84*29/20</f>
        <v>14.268000000000001</v>
      </c>
    </row>
    <row r="15" spans="1:10" ht="16.2" thickBot="1" x14ac:dyDescent="0.35">
      <c r="A15" s="88"/>
      <c r="B15" s="95"/>
      <c r="C15" s="67"/>
      <c r="D15" s="67"/>
      <c r="E15" s="68"/>
      <c r="F15" s="69">
        <f>SUM(F11:F14)</f>
        <v>89.999673202614375</v>
      </c>
      <c r="G15" s="76">
        <f>SUM(G11:G14)</f>
        <v>561.15</v>
      </c>
      <c r="H15" s="76">
        <f>SUM(H11:H14)</f>
        <v>14.013999999999999</v>
      </c>
      <c r="I15" s="76">
        <f>SUM(I11:I14)</f>
        <v>13.201999999999998</v>
      </c>
      <c r="J15" s="77">
        <f>SUM(J11:J14)</f>
        <v>93.188000000000002</v>
      </c>
    </row>
    <row r="16" spans="1:10" ht="15.6" x14ac:dyDescent="0.3">
      <c r="A16" s="87"/>
      <c r="B16" s="90" t="s">
        <v>11</v>
      </c>
      <c r="C16" s="45">
        <v>1</v>
      </c>
      <c r="D16" s="46" t="s">
        <v>43</v>
      </c>
      <c r="E16" s="30" t="s">
        <v>61</v>
      </c>
      <c r="F16" s="31">
        <f>45.26/100*75</f>
        <v>33.945</v>
      </c>
      <c r="G16" s="2">
        <f>24*75/60</f>
        <v>30</v>
      </c>
      <c r="H16" s="2">
        <f>1.86*75/60</f>
        <v>2.3250000000000002</v>
      </c>
      <c r="I16" s="2">
        <f>0.12*75/60</f>
        <v>0.15</v>
      </c>
      <c r="J16" s="3">
        <f>3.9*75/60</f>
        <v>4.875</v>
      </c>
    </row>
    <row r="17" spans="1:10" ht="15.6" x14ac:dyDescent="0.3">
      <c r="A17" s="87"/>
      <c r="B17" s="29" t="s">
        <v>13</v>
      </c>
      <c r="C17" s="48">
        <v>23</v>
      </c>
      <c r="D17" s="49" t="s">
        <v>35</v>
      </c>
      <c r="E17" s="50" t="s">
        <v>49</v>
      </c>
      <c r="F17" s="39">
        <f>65.22*40/60+18.87*240/220</f>
        <v>64.065454545454543</v>
      </c>
      <c r="G17" s="4">
        <v>438.67</v>
      </c>
      <c r="H17" s="4">
        <v>11.18</v>
      </c>
      <c r="I17" s="4">
        <v>14.68</v>
      </c>
      <c r="J17" s="5">
        <v>65.36</v>
      </c>
    </row>
    <row r="18" spans="1:10" ht="15.6" x14ac:dyDescent="0.3">
      <c r="A18" s="87"/>
      <c r="B18" s="29" t="s">
        <v>21</v>
      </c>
      <c r="C18" s="48">
        <v>35</v>
      </c>
      <c r="D18" s="49" t="s">
        <v>36</v>
      </c>
      <c r="E18" s="50" t="s">
        <v>28</v>
      </c>
      <c r="F18" s="39">
        <v>7.48</v>
      </c>
      <c r="G18" s="4">
        <v>97</v>
      </c>
      <c r="H18" s="4">
        <v>0.68</v>
      </c>
      <c r="I18" s="4">
        <v>0.28000000000000003</v>
      </c>
      <c r="J18" s="5">
        <v>19.64</v>
      </c>
    </row>
    <row r="19" spans="1:10" ht="15.6" x14ac:dyDescent="0.3">
      <c r="A19" s="87"/>
      <c r="B19" s="29" t="s">
        <v>15</v>
      </c>
      <c r="C19" s="48" t="s">
        <v>18</v>
      </c>
      <c r="D19" s="49" t="s">
        <v>19</v>
      </c>
      <c r="E19" s="38">
        <v>27</v>
      </c>
      <c r="F19" s="39">
        <f>69.05*0.027</f>
        <v>1.86435</v>
      </c>
      <c r="G19" s="4">
        <f>42*27/20</f>
        <v>56.7</v>
      </c>
      <c r="H19" s="4">
        <f>0.98*27/20</f>
        <v>1.323</v>
      </c>
      <c r="I19" s="4">
        <f>0.2*27/20</f>
        <v>0.27</v>
      </c>
      <c r="J19" s="5">
        <f>8.96*27/20</f>
        <v>12.096</v>
      </c>
    </row>
    <row r="20" spans="1:10" ht="15.6" x14ac:dyDescent="0.3">
      <c r="A20" s="87"/>
      <c r="B20" s="29" t="s">
        <v>14</v>
      </c>
      <c r="C20" s="55" t="s">
        <v>18</v>
      </c>
      <c r="D20" s="56" t="s">
        <v>22</v>
      </c>
      <c r="E20" s="38">
        <v>28</v>
      </c>
      <c r="F20" s="39">
        <f>94.32*0.028</f>
        <v>2.6409599999999998</v>
      </c>
      <c r="G20" s="4">
        <f>47*28/20</f>
        <v>65.8</v>
      </c>
      <c r="H20" s="4">
        <f>1.52*28/20</f>
        <v>2.1280000000000001</v>
      </c>
      <c r="I20" s="4">
        <f>0.16*28/20</f>
        <v>0.22400000000000003</v>
      </c>
      <c r="J20" s="5">
        <f>9.84*28/20</f>
        <v>13.776</v>
      </c>
    </row>
    <row r="21" spans="1:10" ht="16.2" thickBot="1" x14ac:dyDescent="0.35">
      <c r="A21" s="88"/>
      <c r="B21" s="95"/>
      <c r="C21" s="67"/>
      <c r="D21" s="67"/>
      <c r="E21" s="68"/>
      <c r="F21" s="69">
        <f>SUM(F16:F20)</f>
        <v>109.99576454545453</v>
      </c>
      <c r="G21" s="76">
        <f>SUM(G16:G20)</f>
        <v>688.17000000000007</v>
      </c>
      <c r="H21" s="76">
        <f>SUM(H16:H20)</f>
        <v>17.635999999999999</v>
      </c>
      <c r="I21" s="76">
        <f>SUM(I16:I20)</f>
        <v>15.603999999999999</v>
      </c>
      <c r="J21" s="77">
        <f>SUM(J16:J20)</f>
        <v>115.747</v>
      </c>
    </row>
    <row r="22" spans="1:10" ht="15.6" x14ac:dyDescent="0.3">
      <c r="A22" s="89"/>
      <c r="B22" s="90" t="s">
        <v>11</v>
      </c>
      <c r="C22" s="45">
        <v>1</v>
      </c>
      <c r="D22" s="46" t="s">
        <v>43</v>
      </c>
      <c r="E22" s="30" t="s">
        <v>62</v>
      </c>
      <c r="F22" s="31">
        <f>45.26/100*60</f>
        <v>27.155999999999999</v>
      </c>
      <c r="G22" s="2">
        <f>24*60/60</f>
        <v>24</v>
      </c>
      <c r="H22" s="2">
        <f>1.86*60/60</f>
        <v>1.86</v>
      </c>
      <c r="I22" s="2">
        <f>0.12*60/60</f>
        <v>0.11999999999999998</v>
      </c>
      <c r="J22" s="3">
        <f>3.9*60/60</f>
        <v>3.9</v>
      </c>
    </row>
    <row r="23" spans="1:10" ht="28.8" x14ac:dyDescent="0.3">
      <c r="A23" s="87"/>
      <c r="B23" s="29" t="s">
        <v>12</v>
      </c>
      <c r="C23" s="48">
        <v>10</v>
      </c>
      <c r="D23" s="49" t="s">
        <v>44</v>
      </c>
      <c r="E23" s="50" t="s">
        <v>57</v>
      </c>
      <c r="F23" s="39">
        <f>20.87*235/245+2.55+7.82*1</f>
        <v>30.388163265306122</v>
      </c>
      <c r="G23" s="4">
        <v>118</v>
      </c>
      <c r="H23" s="4">
        <v>2.2200000000000002</v>
      </c>
      <c r="I23" s="4">
        <v>4.83</v>
      </c>
      <c r="J23" s="5">
        <v>11.84</v>
      </c>
    </row>
    <row r="24" spans="1:10" ht="15.6" x14ac:dyDescent="0.3">
      <c r="A24" s="87"/>
      <c r="B24" s="29" t="s">
        <v>13</v>
      </c>
      <c r="C24" s="48">
        <v>23</v>
      </c>
      <c r="D24" s="49" t="s">
        <v>35</v>
      </c>
      <c r="E24" s="50" t="s">
        <v>49</v>
      </c>
      <c r="F24" s="39">
        <f>65.22*40/60+18.87*240/220</f>
        <v>64.065454545454543</v>
      </c>
      <c r="G24" s="4">
        <v>438.67</v>
      </c>
      <c r="H24" s="4">
        <v>11.18</v>
      </c>
      <c r="I24" s="4">
        <v>14.68</v>
      </c>
      <c r="J24" s="5">
        <v>65.36</v>
      </c>
    </row>
    <row r="25" spans="1:10" ht="15.6" x14ac:dyDescent="0.3">
      <c r="A25" s="87"/>
      <c r="B25" s="29" t="s">
        <v>21</v>
      </c>
      <c r="C25" s="48">
        <v>35</v>
      </c>
      <c r="D25" s="49" t="s">
        <v>36</v>
      </c>
      <c r="E25" s="50" t="s">
        <v>28</v>
      </c>
      <c r="F25" s="39">
        <v>7.48</v>
      </c>
      <c r="G25" s="4">
        <v>97</v>
      </c>
      <c r="H25" s="4">
        <v>0.68</v>
      </c>
      <c r="I25" s="4">
        <v>0.28000000000000003</v>
      </c>
      <c r="J25" s="5">
        <v>19.64</v>
      </c>
    </row>
    <row r="26" spans="1:10" ht="15.6" x14ac:dyDescent="0.3">
      <c r="A26" s="87"/>
      <c r="B26" s="29" t="s">
        <v>15</v>
      </c>
      <c r="C26" s="48" t="s">
        <v>18</v>
      </c>
      <c r="D26" s="49" t="s">
        <v>19</v>
      </c>
      <c r="E26" s="38">
        <v>36</v>
      </c>
      <c r="F26" s="39">
        <f>69.05*0.036</f>
        <v>2.4857999999999998</v>
      </c>
      <c r="G26" s="4">
        <f>42*36/20</f>
        <v>75.599999999999994</v>
      </c>
      <c r="H26" s="4">
        <f>0.98*36/20</f>
        <v>1.764</v>
      </c>
      <c r="I26" s="4">
        <f>0.2*36/20</f>
        <v>0.36</v>
      </c>
      <c r="J26" s="5">
        <f>8.96*36/20</f>
        <v>16.128000000000004</v>
      </c>
    </row>
    <row r="27" spans="1:10" ht="15.6" x14ac:dyDescent="0.3">
      <c r="A27" s="87"/>
      <c r="B27" s="29" t="s">
        <v>14</v>
      </c>
      <c r="C27" s="55" t="s">
        <v>18</v>
      </c>
      <c r="D27" s="56" t="s">
        <v>22</v>
      </c>
      <c r="E27" s="38">
        <v>37</v>
      </c>
      <c r="F27" s="39">
        <v>3.42</v>
      </c>
      <c r="G27" s="4">
        <f>47*37/20</f>
        <v>86.95</v>
      </c>
      <c r="H27" s="4">
        <f>1.52*37/20</f>
        <v>2.8120000000000003</v>
      </c>
      <c r="I27" s="4">
        <f>0.16*37/20</f>
        <v>0.29599999999999999</v>
      </c>
      <c r="J27" s="5">
        <f>9.84*37/20</f>
        <v>18.204000000000001</v>
      </c>
    </row>
    <row r="28" spans="1:10" ht="16.2" thickBot="1" x14ac:dyDescent="0.35">
      <c r="A28" s="88"/>
      <c r="B28" s="95"/>
      <c r="C28" s="67"/>
      <c r="D28" s="67"/>
      <c r="E28" s="68"/>
      <c r="F28" s="69">
        <f>SUM(F22:F27)</f>
        <v>134.99541781076067</v>
      </c>
      <c r="G28" s="76">
        <f>SUM(G22:G27)</f>
        <v>840.22000000000014</v>
      </c>
      <c r="H28" s="76">
        <f>SUM(H22:H27)</f>
        <v>20.516000000000002</v>
      </c>
      <c r="I28" s="76">
        <f>SUM(I22:I27)</f>
        <v>20.565999999999999</v>
      </c>
      <c r="J28" s="77">
        <f>SUM(J22:J27)</f>
        <v>135.072</v>
      </c>
    </row>
    <row r="29" spans="1:10" customFormat="1" ht="22.2" customHeight="1" x14ac:dyDescent="0.3">
      <c r="A29" s="13" t="s">
        <v>47</v>
      </c>
      <c r="E29" s="11"/>
      <c r="F29" s="11"/>
    </row>
    <row r="30" spans="1:10" ht="22.2" customHeight="1" x14ac:dyDescent="0.3">
      <c r="A30" s="13" t="s">
        <v>24</v>
      </c>
      <c r="B30"/>
      <c r="C30"/>
      <c r="D30"/>
    </row>
  </sheetData>
  <mergeCells count="2">
    <mergeCell ref="B1:D1"/>
    <mergeCell ref="A4:A5"/>
  </mergeCells>
  <pageMargins left="0.31496062992125984" right="0.31496062992125984" top="0.31496062992125984" bottom="0.31496062992125984" header="0" footer="0"/>
  <pageSetup paperSize="9" scale="91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2024-11-12T08:40:32Z</cp:lastPrinted>
  <dcterms:created xsi:type="dcterms:W3CDTF">2015-06-05T18:19:34Z</dcterms:created>
  <dcterms:modified xsi:type="dcterms:W3CDTF">2025-04-29T14:13:46Z</dcterms:modified>
</cp:coreProperties>
</file>