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C:\Users\Mi\Downloads\"/>
    </mc:Choice>
  </mc:AlternateContent>
  <xr:revisionPtr revIDLastSave="0" documentId="8_{08ED348D-3AEE-4F7A-9CBA-411DFDEA5BD6}" xr6:coauthVersionLast="47" xr6:coauthVersionMax="47" xr10:uidLastSave="{00000000-0000-0000-0000-000000000000}"/>
  <bookViews>
    <workbookView xWindow="-108" yWindow="-108" windowWidth="23256" windowHeight="13896" activeTab="1" xr2:uid="{00000000-000D-0000-FFFF-FFFF00000000}"/>
  </bookViews>
  <sheets>
    <sheet name="бесплатно" sheetId="1" r:id="rId1"/>
    <sheet name="платно" sheetId="2" r:id="rId2"/>
  </sheets>
  <definedNames>
    <definedName name="_xlnm.Print_Area" localSheetId="0">бесплатно!$A$1:$J$45</definedName>
    <definedName name="_xlnm.Print_Area" localSheetId="1">платно!$A$1:$J$34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2" l="1"/>
  <c r="I30" i="2"/>
  <c r="H30" i="2"/>
  <c r="G30" i="2"/>
  <c r="J29" i="2"/>
  <c r="I29" i="2"/>
  <c r="H29" i="2"/>
  <c r="G29" i="2"/>
  <c r="F29" i="2"/>
  <c r="F24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J22" i="2"/>
  <c r="I22" i="2"/>
  <c r="H22" i="2"/>
  <c r="G22" i="2"/>
  <c r="J21" i="2"/>
  <c r="I21" i="2"/>
  <c r="H21" i="2"/>
  <c r="G21" i="2"/>
  <c r="F22" i="2"/>
  <c r="J15" i="2"/>
  <c r="I15" i="2"/>
  <c r="H15" i="2"/>
  <c r="G15" i="2"/>
  <c r="F13" i="2"/>
  <c r="F12" i="2"/>
  <c r="J9" i="2"/>
  <c r="J8" i="2"/>
  <c r="I9" i="2"/>
  <c r="I8" i="2"/>
  <c r="H9" i="2"/>
  <c r="H8" i="2"/>
  <c r="G9" i="2"/>
  <c r="G8" i="2"/>
  <c r="J5" i="2"/>
  <c r="I5" i="2"/>
  <c r="H5" i="2"/>
  <c r="G5" i="2"/>
  <c r="F9" i="2"/>
  <c r="F7" i="2"/>
  <c r="F5" i="2"/>
  <c r="F4" i="2"/>
  <c r="J42" i="1"/>
  <c r="I42" i="1"/>
  <c r="H42" i="1"/>
  <c r="G42" i="1"/>
  <c r="J41" i="1"/>
  <c r="I41" i="1"/>
  <c r="H41" i="1"/>
  <c r="G41" i="1"/>
  <c r="F41" i="1"/>
  <c r="F38" i="1"/>
  <c r="F37" i="1"/>
  <c r="J30" i="1"/>
  <c r="J29" i="1"/>
  <c r="I30" i="1"/>
  <c r="I29" i="1"/>
  <c r="H30" i="1"/>
  <c r="H29" i="1"/>
  <c r="G30" i="1"/>
  <c r="G29" i="1"/>
  <c r="F30" i="1"/>
  <c r="F29" i="1"/>
  <c r="F25" i="1"/>
  <c r="F28" i="1"/>
  <c r="J21" i="1"/>
  <c r="I21" i="1"/>
  <c r="H21" i="1"/>
  <c r="G21" i="1"/>
  <c r="J20" i="1"/>
  <c r="I20" i="1"/>
  <c r="H20" i="1"/>
  <c r="G20" i="1"/>
  <c r="F20" i="1"/>
  <c r="F17" i="1"/>
  <c r="F16" i="1"/>
  <c r="F15" i="1"/>
  <c r="J9" i="1"/>
  <c r="I9" i="1"/>
  <c r="H9" i="1"/>
  <c r="G9" i="1"/>
  <c r="J8" i="1"/>
  <c r="I8" i="1"/>
  <c r="H8" i="1"/>
  <c r="G8" i="1"/>
  <c r="J5" i="1"/>
  <c r="I5" i="1"/>
  <c r="H5" i="1"/>
  <c r="G5" i="1"/>
  <c r="F9" i="1"/>
  <c r="F5" i="1"/>
  <c r="F4" i="1"/>
  <c r="F7" i="1"/>
  <c r="J13" i="2" l="1"/>
  <c r="I13" i="2"/>
  <c r="H13" i="2"/>
  <c r="G13" i="2"/>
  <c r="F19" i="2"/>
  <c r="F18" i="2"/>
  <c r="J33" i="1"/>
  <c r="I33" i="1"/>
  <c r="H33" i="1"/>
  <c r="G33" i="1"/>
  <c r="J12" i="1"/>
  <c r="I12" i="1"/>
  <c r="H12" i="1"/>
  <c r="G12" i="1"/>
  <c r="J12" i="2" l="1"/>
  <c r="I12" i="2"/>
  <c r="H12" i="2"/>
  <c r="G12" i="2"/>
  <c r="J18" i="2" l="1"/>
  <c r="I18" i="2"/>
  <c r="H18" i="2"/>
  <c r="G18" i="2"/>
  <c r="J39" i="1" l="1"/>
  <c r="I39" i="1"/>
  <c r="H39" i="1"/>
  <c r="G39" i="1"/>
  <c r="F34" i="1"/>
  <c r="F13" i="1"/>
  <c r="J19" i="2" l="1"/>
  <c r="I19" i="2"/>
  <c r="H19" i="2"/>
  <c r="G19" i="2"/>
  <c r="F22" i="1" l="1"/>
  <c r="G31" i="2" l="1"/>
  <c r="J11" i="2" l="1"/>
  <c r="J16" i="2" s="1"/>
  <c r="I11" i="2"/>
  <c r="I16" i="2" s="1"/>
  <c r="H11" i="2"/>
  <c r="H16" i="2" s="1"/>
  <c r="G11" i="2"/>
  <c r="G16" i="2" s="1"/>
  <c r="F16" i="2"/>
  <c r="J17" i="2" l="1"/>
  <c r="I17" i="2"/>
  <c r="H17" i="2"/>
  <c r="G17" i="2"/>
  <c r="G23" i="2" s="1"/>
  <c r="J4" i="2"/>
  <c r="I4" i="2"/>
  <c r="H4" i="2"/>
  <c r="H10" i="2" s="1"/>
  <c r="G4" i="2"/>
  <c r="F35" i="1"/>
  <c r="J25" i="1"/>
  <c r="I25" i="1"/>
  <c r="H25" i="1"/>
  <c r="G25" i="1"/>
  <c r="F14" i="1"/>
  <c r="J4" i="1"/>
  <c r="I4" i="1"/>
  <c r="H4" i="1"/>
  <c r="G4" i="1"/>
  <c r="J13" i="1" l="1"/>
  <c r="I13" i="1"/>
  <c r="H13" i="1"/>
  <c r="G13" i="1"/>
  <c r="F31" i="2" l="1"/>
  <c r="G36" i="1"/>
  <c r="J26" i="1"/>
  <c r="I26" i="1"/>
  <c r="H26" i="1"/>
  <c r="G26" i="1"/>
  <c r="F10" i="1"/>
  <c r="F43" i="1" l="1"/>
  <c r="J36" i="1"/>
  <c r="I36" i="1"/>
  <c r="H36" i="1"/>
  <c r="F10" i="2" l="1"/>
  <c r="F31" i="1"/>
  <c r="F23" i="2"/>
  <c r="G31" i="1"/>
  <c r="J15" i="1"/>
  <c r="I15" i="1"/>
  <c r="H15" i="1"/>
  <c r="G15" i="1"/>
  <c r="G10" i="1" l="1"/>
  <c r="H10" i="1" l="1"/>
  <c r="J23" i="2" l="1"/>
  <c r="I23" i="2"/>
  <c r="H23" i="2"/>
  <c r="H43" i="1" l="1"/>
  <c r="G43" i="1"/>
  <c r="I31" i="1"/>
  <c r="I43" i="1" l="1"/>
  <c r="J43" i="1"/>
  <c r="H31" i="1"/>
  <c r="J31" i="1"/>
  <c r="I10" i="2"/>
  <c r="G10" i="2"/>
  <c r="J10" i="2"/>
  <c r="H35" i="1" l="1"/>
  <c r="J35" i="1"/>
  <c r="I35" i="1"/>
  <c r="G35" i="1"/>
  <c r="J31" i="2" l="1"/>
  <c r="I31" i="2" l="1"/>
  <c r="H31" i="2"/>
  <c r="G14" i="1" l="1"/>
  <c r="J10" i="1"/>
  <c r="G22" i="1" l="1"/>
  <c r="I10" i="1"/>
  <c r="J22" i="1"/>
  <c r="I22" i="1"/>
  <c r="H22" i="1"/>
  <c r="J14" i="1"/>
  <c r="I14" i="1"/>
  <c r="H14" i="1"/>
</calcChain>
</file>

<file path=xl/sharedStrings.xml><?xml version="1.0" encoding="utf-8"?>
<sst xmlns="http://schemas.openxmlformats.org/spreadsheetml/2006/main" count="188" uniqueCount="56">
  <si>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</si>
  <si>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</si>
  <si>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</si>
  <si>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</si>
  <si>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</si>
  <si>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</si>
  <si>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</si>
  <si>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</si>
  <si>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</si>
  <si>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</si>
  <si>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</si>
  <si>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</si>
  <si>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</si>
  <si>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</si>
  <si>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</si>
  <si>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</si>
  <si>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</si>
  <si>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</si>
  <si>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</si>
  <si>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</si>
  <si>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</si>
  <si>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</si>
  <si>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Полдник</t>
  </si>
  <si>
    <t>напиток</t>
  </si>
  <si>
    <t>Хлеб пшеничный</t>
  </si>
  <si>
    <t>корп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</si>
  <si>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</si>
  <si>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</si>
  <si>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</si>
  <si>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добавки</t>
  </si>
  <si>
    <t xml:space="preserve"> </t>
  </si>
  <si>
    <t>Батон</t>
  </si>
  <si>
    <t>Зав.производством __________________________________</t>
  </si>
  <si>
    <t>Вафли</t>
  </si>
  <si>
    <t>добавка</t>
  </si>
  <si>
    <t>Макаронные изделия отварные с сыром</t>
  </si>
  <si>
    <t>Чай с молоком</t>
  </si>
  <si>
    <t>Молоко кипяченое</t>
  </si>
  <si>
    <t>Яблоко</t>
  </si>
  <si>
    <t>Икра свекольная</t>
  </si>
  <si>
    <t>Курица в соусе с томатом</t>
  </si>
  <si>
    <t>гарнир</t>
  </si>
  <si>
    <t>Напиток из шиповника</t>
  </si>
  <si>
    <t>день 7</t>
  </si>
  <si>
    <t>Суп картофельный с клецками</t>
  </si>
  <si>
    <t>Тефтели</t>
  </si>
  <si>
    <t>Пюре картофельное</t>
  </si>
  <si>
    <t>Соус красный основной</t>
  </si>
  <si>
    <t>6-11 лет</t>
  </si>
  <si>
    <t>12-18 лет</t>
  </si>
  <si>
    <t>Икра кабачковая (пром. производства)</t>
  </si>
  <si>
    <t>Рис, припущенный с томатом</t>
  </si>
  <si>
    <t>Суп картофельный с клецками, с мясом птицы</t>
  </si>
  <si>
    <t>Чай с сахаром</t>
  </si>
  <si>
    <t>240/10</t>
  </si>
  <si>
    <t>МБОУ Элитовская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</si>
</sst>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0" xfId="0" applyFont="1"/>
    <xf numFmtId="0" fontId="0" fillId="0" borderId="5" xfId="0" applyBorder="1"/>
    <xf numFmtId="0" fontId="0" fillId="0" borderId="6" xfId="0" applyBorder="1"/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0" fontId="0" fillId="0" borderId="11" xfId="0" applyBorder="1"/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 applyProtection="1">
      <protection locked="0"/>
    </xf>
    <xf numFmtId="0" fontId="3" fillId="0" borderId="13" xfId="0" applyFont="1" applyBorder="1"/>
    <xf numFmtId="2" fontId="3" fillId="0" borderId="13" xfId="0" applyNumberFormat="1" applyFont="1" applyBorder="1"/>
    <xf numFmtId="2" fontId="3" fillId="0" borderId="14" xfId="0" applyNumberFormat="1" applyFont="1" applyBorder="1"/>
    <xf numFmtId="2" fontId="0" fillId="0" borderId="15" xfId="0" applyNumberFormat="1" applyBorder="1" applyProtection="1">
      <protection locked="0"/>
    </xf>
    <xf numFmtId="0" fontId="0" fillId="0" borderId="12" xfId="0" applyBorder="1"/>
    <xf numFmtId="0" fontId="0" fillId="0" borderId="13" xfId="0" applyBorder="1" applyProtection="1">
      <protection locked="0"/>
    </xf>
    <xf numFmtId="0" fontId="0" fillId="0" borderId="13" xfId="0" applyBorder="1"/>
    <xf numFmtId="2" fontId="0" fillId="0" borderId="13" xfId="0" applyNumberFormat="1" applyBorder="1"/>
    <xf numFmtId="2" fontId="0" fillId="0" borderId="14" xfId="0" applyNumberFormat="1" applyBorder="1"/>
    <xf numFmtId="0" fontId="6" fillId="0" borderId="0" xfId="0" applyFont="1" applyAlignment="1">
      <alignment horizontal="center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Protection="1">
      <protection locked="0"/>
    </xf>
    <xf numFmtId="0" fontId="0" fillId="0" borderId="16" xfId="0" applyBorder="1"/>
    <xf numFmtId="0" fontId="2" fillId="0" borderId="13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>
      <alignment wrapText="1"/>
      <protection locked="0"/>
    </xf>
    <xf numFmtId="1" fontId="6" fillId="0" borderId="13" xfId="0" applyNumberFormat="1" applyFont="1" applyBorder="1" applyAlignment="1" applyProtection="1">
      <alignment horizontal="center"/>
      <protection locked="0"/>
    </xf>
    <xf numFmtId="0" fontId="0" fillId="0" borderId="17" xfId="0" applyBorder="1"/>
    <xf numFmtId="0" fontId="0" fillId="0" borderId="18" xfId="0" applyBorder="1" applyProtection="1"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wrapText="1"/>
      <protection locked="0"/>
    </xf>
    <xf numFmtId="2" fontId="0" fillId="0" borderId="18" xfId="0" applyNumberFormat="1" applyBorder="1" applyProtection="1">
      <protection locked="0"/>
    </xf>
    <xf numFmtId="0" fontId="8" fillId="0" borderId="13" xfId="0" applyFont="1" applyBorder="1" applyAlignment="1">
      <alignment horizontal="center"/>
    </xf>
    <xf numFmtId="2" fontId="6" fillId="0" borderId="1" xfId="0" applyNumberFormat="1" applyFont="1" applyBorder="1" applyAlignment="1" applyProtection="1">
      <alignment horizontal="center"/>
      <protection locked="0"/>
    </xf>
    <xf numFmtId="2" fontId="0" fillId="0" borderId="13" xfId="0" applyNumberFormat="1" applyBorder="1" applyProtection="1">
      <protection locked="0"/>
    </xf>
    <xf numFmtId="2" fontId="0" fillId="0" borderId="14" xfId="0" applyNumberFormat="1" applyBorder="1" applyProtection="1">
      <protection locked="0"/>
    </xf>
    <xf numFmtId="2" fontId="6" fillId="0" borderId="6" xfId="0" applyNumberFormat="1" applyFont="1" applyBorder="1" applyAlignment="1" applyProtection="1">
      <alignment horizontal="center"/>
      <protection locked="0"/>
    </xf>
    <xf numFmtId="2" fontId="6" fillId="0" borderId="18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 applyProtection="1">
      <alignment horizontal="center"/>
      <protection locked="0"/>
    </xf>
    <xf numFmtId="2" fontId="6" fillId="0" borderId="13" xfId="0" applyNumberFormat="1" applyFont="1" applyBorder="1" applyAlignment="1">
      <alignment horizontal="center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wrapText="1"/>
      <protection locked="0"/>
    </xf>
    <xf numFmtId="2" fontId="6" fillId="0" borderId="4" xfId="0" applyNumberFormat="1" applyFont="1" applyBorder="1" applyAlignment="1" applyProtection="1">
      <alignment horizontal="center"/>
      <protection locked="0"/>
    </xf>
    <xf numFmtId="2" fontId="8" fillId="0" borderId="13" xfId="0" applyNumberFormat="1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wrapText="1"/>
      <protection locked="0"/>
    </xf>
    <xf numFmtId="14" fontId="0" fillId="0" borderId="0" xfId="0" applyNumberFormat="1"/>
    <xf numFmtId="2" fontId="0" fillId="0" borderId="19" xfId="0" applyNumberFormat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3" fillId="0" borderId="1" xfId="0" applyFont="1" applyBorder="1"/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0" fillId="0" borderId="26" xfId="0" applyBorder="1"/>
    <xf numFmtId="0" fontId="6" fillId="0" borderId="4" xfId="0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Alignment="1">
      <alignment horizontal="center"/>
    </xf>
    <xf numFmtId="0" fontId="3" fillId="0" borderId="6" xfId="0" applyFont="1" applyBorder="1"/>
    <xf numFmtId="0" fontId="7" fillId="0" borderId="6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wrapText="1"/>
      <protection locked="0"/>
    </xf>
    <xf numFmtId="0" fontId="0" fillId="0" borderId="27" xfId="0" applyBorder="1"/>
    <xf numFmtId="0" fontId="0" fillId="0" borderId="2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M45"/>
  <sheetViews>
    <sheetView zoomScaleNormal="100" workbookViewId="0">
      <selection activeCell="I1" sqref="I1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7.109375" bestFit="1" customWidth="1"/>
    <col min="4" max="4" width="30.21875" customWidth="1"/>
    <col min="5" max="5" width="9.21875" style="14" bestFit="1" customWidth="1"/>
    <col min="6" max="6" width="9.109375" style="14" customWidth="1"/>
    <col min="7" max="7" width="8.44140625" customWidth="1"/>
    <col min="8" max="8" width="6.5546875" bestFit="1" customWidth="1"/>
    <col min="9" max="9" width="11.77734375" customWidth="1"/>
    <col min="10" max="10" width="10.88671875" customWidth="1"/>
  </cols>
  <sheetData>
    <row r="1" spans="1:10" ht="28.8" customHeight="1" x14ac:dyDescent="0.3">
      <c r="A1" t="s">
        <v>0</v>
      </c>
      <c r="B1" s="92" t="s">
        <v>55</v>
      </c>
      <c r="C1" s="93"/>
      <c r="D1" s="94"/>
      <c r="E1" s="14" t="s">
        <v>25</v>
      </c>
      <c r="F1" s="13"/>
      <c r="H1" t="s">
        <v>43</v>
      </c>
      <c r="I1" s="12">
        <v>45782</v>
      </c>
      <c r="J1" s="68"/>
    </row>
    <row r="2" spans="1:10" ht="15" thickBot="1" x14ac:dyDescent="0.35">
      <c r="B2" s="1" t="s">
        <v>48</v>
      </c>
    </row>
    <row r="3" spans="1:10" s="15" customFormat="1" ht="29.4" thickBot="1" x14ac:dyDescent="0.35">
      <c r="A3" s="70" t="s">
        <v>1</v>
      </c>
      <c r="B3" s="71" t="s">
        <v>2</v>
      </c>
      <c r="C3" s="71" t="s">
        <v>18</v>
      </c>
      <c r="D3" s="71" t="s">
        <v>3</v>
      </c>
      <c r="E3" s="72" t="s">
        <v>19</v>
      </c>
      <c r="F3" s="72" t="s">
        <v>4</v>
      </c>
      <c r="G3" s="73" t="s">
        <v>5</v>
      </c>
      <c r="H3" s="71" t="s">
        <v>6</v>
      </c>
      <c r="I3" s="71" t="s">
        <v>7</v>
      </c>
      <c r="J3" s="74" t="s">
        <v>8</v>
      </c>
    </row>
    <row r="4" spans="1:10" ht="28.8" x14ac:dyDescent="0.3">
      <c r="A4" s="2" t="s">
        <v>9</v>
      </c>
      <c r="B4" s="88" t="s">
        <v>10</v>
      </c>
      <c r="C4" s="89">
        <v>37</v>
      </c>
      <c r="D4" s="90" t="s">
        <v>35</v>
      </c>
      <c r="E4" s="85">
        <v>170</v>
      </c>
      <c r="F4" s="58">
        <f>34.08*170/160</f>
        <v>36.209999999999994</v>
      </c>
      <c r="G4" s="4">
        <f>246*170/160</f>
        <v>261.375</v>
      </c>
      <c r="H4" s="4">
        <f>10.9*170/160</f>
        <v>11.581250000000001</v>
      </c>
      <c r="I4" s="4">
        <f>10.91*170/160</f>
        <v>11.591875</v>
      </c>
      <c r="J4" s="5">
        <f>29.23*170/160</f>
        <v>31.056875000000002</v>
      </c>
    </row>
    <row r="5" spans="1:10" ht="28.8" x14ac:dyDescent="0.3">
      <c r="A5" s="6"/>
      <c r="B5" s="75" t="s">
        <v>34</v>
      </c>
      <c r="C5" s="62">
        <v>27</v>
      </c>
      <c r="D5" s="63" t="s">
        <v>50</v>
      </c>
      <c r="E5" s="82">
        <v>65</v>
      </c>
      <c r="F5" s="64">
        <f>9.15*65/60</f>
        <v>9.9124999999999996</v>
      </c>
      <c r="G5" s="10">
        <f>47*65/60</f>
        <v>50.916666666666664</v>
      </c>
      <c r="H5" s="10">
        <f>0.72*65/60</f>
        <v>0.77999999999999992</v>
      </c>
      <c r="I5" s="10">
        <f>2.82*65/60</f>
        <v>3.0549999999999997</v>
      </c>
      <c r="J5" s="30">
        <f>4.62*65/60</f>
        <v>5.0049999999999999</v>
      </c>
    </row>
    <row r="6" spans="1:10" ht="15.6" x14ac:dyDescent="0.3">
      <c r="A6" s="6"/>
      <c r="B6" s="24" t="s">
        <v>11</v>
      </c>
      <c r="C6" s="37">
        <v>20</v>
      </c>
      <c r="D6" s="38" t="s">
        <v>36</v>
      </c>
      <c r="E6" s="83">
        <v>200</v>
      </c>
      <c r="F6" s="55">
        <v>3.73</v>
      </c>
      <c r="G6" s="8">
        <v>51.49</v>
      </c>
      <c r="H6" s="8">
        <v>0.92</v>
      </c>
      <c r="I6" s="8">
        <v>0.69</v>
      </c>
      <c r="J6" s="9">
        <v>10.41</v>
      </c>
    </row>
    <row r="7" spans="1:10" ht="15.6" x14ac:dyDescent="0.3">
      <c r="A7" s="6"/>
      <c r="B7" s="24" t="s">
        <v>29</v>
      </c>
      <c r="C7" s="37" t="s">
        <v>20</v>
      </c>
      <c r="D7" s="38" t="s">
        <v>33</v>
      </c>
      <c r="E7" s="83">
        <v>40</v>
      </c>
      <c r="F7" s="55">
        <f>275.55*0.04</f>
        <v>11.022</v>
      </c>
      <c r="G7" s="8">
        <v>96</v>
      </c>
      <c r="H7" s="8">
        <v>3.04</v>
      </c>
      <c r="I7" s="8">
        <v>0.32</v>
      </c>
      <c r="J7" s="9">
        <v>19.440000000000001</v>
      </c>
    </row>
    <row r="8" spans="1:10" ht="15.6" x14ac:dyDescent="0.3">
      <c r="A8" s="6"/>
      <c r="B8" s="75" t="s">
        <v>16</v>
      </c>
      <c r="C8" s="37" t="s">
        <v>20</v>
      </c>
      <c r="D8" s="38" t="s">
        <v>21</v>
      </c>
      <c r="E8" s="83">
        <v>27</v>
      </c>
      <c r="F8" s="55">
        <v>1.52</v>
      </c>
      <c r="G8" s="8">
        <f>42*27/20</f>
        <v>56.7</v>
      </c>
      <c r="H8" s="8">
        <f>0.98*27/20</f>
        <v>1.323</v>
      </c>
      <c r="I8" s="8">
        <f>0.2*27/20</f>
        <v>0.27</v>
      </c>
      <c r="J8" s="9">
        <f>8.96*27/20</f>
        <v>12.096</v>
      </c>
    </row>
    <row r="9" spans="1:10" ht="15.6" x14ac:dyDescent="0.3">
      <c r="A9" s="6"/>
      <c r="B9" s="44" t="s">
        <v>17</v>
      </c>
      <c r="C9" s="37" t="s">
        <v>20</v>
      </c>
      <c r="D9" s="38" t="s">
        <v>24</v>
      </c>
      <c r="E9" s="83">
        <v>27</v>
      </c>
      <c r="F9" s="55">
        <f>78.6*0.027</f>
        <v>2.1221999999999999</v>
      </c>
      <c r="G9" s="8">
        <f>47*27/20</f>
        <v>63.45</v>
      </c>
      <c r="H9" s="8">
        <f>1.52*27/20</f>
        <v>2.052</v>
      </c>
      <c r="I9" s="8">
        <f>0.16*27/20</f>
        <v>0.21600000000000003</v>
      </c>
      <c r="J9" s="9">
        <f>9.84*27/20</f>
        <v>13.284000000000001</v>
      </c>
    </row>
    <row r="10" spans="1:10" ht="16.2" thickBot="1" x14ac:dyDescent="0.35">
      <c r="A10" s="49"/>
      <c r="B10" s="50"/>
      <c r="C10" s="51"/>
      <c r="D10" s="52"/>
      <c r="E10" s="84"/>
      <c r="F10" s="59">
        <f>SUM(F4:F9)</f>
        <v>64.5167</v>
      </c>
      <c r="G10" s="53">
        <f>SUM(G4:G9)</f>
        <v>579.93166666666673</v>
      </c>
      <c r="H10" s="53">
        <f>SUM(H4:H9)</f>
        <v>19.696249999999999</v>
      </c>
      <c r="I10" s="53">
        <f>SUM(I4:I9)</f>
        <v>16.142875</v>
      </c>
      <c r="J10" s="69">
        <f>SUM(J4:J9)</f>
        <v>91.291875000000005</v>
      </c>
    </row>
    <row r="11" spans="1:10" ht="15.6" x14ac:dyDescent="0.3">
      <c r="A11" s="2" t="s">
        <v>22</v>
      </c>
      <c r="B11" s="3" t="s">
        <v>11</v>
      </c>
      <c r="C11" s="39">
        <v>8</v>
      </c>
      <c r="D11" s="40" t="s">
        <v>37</v>
      </c>
      <c r="E11" s="85">
        <v>200</v>
      </c>
      <c r="F11" s="58">
        <v>18.12</v>
      </c>
      <c r="G11" s="4">
        <v>124</v>
      </c>
      <c r="H11" s="4">
        <v>5.8</v>
      </c>
      <c r="I11" s="4">
        <v>7</v>
      </c>
      <c r="J11" s="5">
        <v>9.4</v>
      </c>
    </row>
    <row r="12" spans="1:10" ht="15.6" x14ac:dyDescent="0.3">
      <c r="A12" s="6"/>
      <c r="B12" s="24" t="s">
        <v>29</v>
      </c>
      <c r="C12" s="66" t="s">
        <v>20</v>
      </c>
      <c r="D12" s="67" t="s">
        <v>38</v>
      </c>
      <c r="E12" s="82">
        <v>150</v>
      </c>
      <c r="F12" s="64">
        <v>25.19</v>
      </c>
      <c r="G12" s="10">
        <f>47*150/100</f>
        <v>70.5</v>
      </c>
      <c r="H12" s="10">
        <f>0.4*150/100</f>
        <v>0.6</v>
      </c>
      <c r="I12" s="10">
        <f>0.4*150/100</f>
        <v>0.6</v>
      </c>
      <c r="J12" s="30">
        <f>9.8*150/100</f>
        <v>14.7</v>
      </c>
    </row>
    <row r="13" spans="1:10" ht="15.6" x14ac:dyDescent="0.3">
      <c r="A13" s="6"/>
      <c r="B13" s="24" t="s">
        <v>29</v>
      </c>
      <c r="C13" s="41" t="s">
        <v>20</v>
      </c>
      <c r="D13" s="42" t="s">
        <v>31</v>
      </c>
      <c r="E13" s="83">
        <v>50</v>
      </c>
      <c r="F13" s="55">
        <f>101.5*0.05</f>
        <v>5.0750000000000002</v>
      </c>
      <c r="G13" s="8">
        <f>131*50/50</f>
        <v>131</v>
      </c>
      <c r="H13" s="8">
        <f>3.75*50/50</f>
        <v>3.75</v>
      </c>
      <c r="I13" s="8">
        <f>1.45*50/50</f>
        <v>1.45</v>
      </c>
      <c r="J13" s="9">
        <f>25.7*50/50</f>
        <v>25.7</v>
      </c>
    </row>
    <row r="14" spans="1:10" ht="16.2" thickBot="1" x14ac:dyDescent="0.35">
      <c r="A14" s="45"/>
      <c r="B14" s="32"/>
      <c r="C14" s="46"/>
      <c r="D14" s="47"/>
      <c r="E14" s="86"/>
      <c r="F14" s="60">
        <f>SUM(F11:F13)</f>
        <v>48.385000000000005</v>
      </c>
      <c r="G14" s="56">
        <f>SUM(G11:G13)</f>
        <v>325.5</v>
      </c>
      <c r="H14" s="56">
        <f>SUM(H11:H13)</f>
        <v>10.149999999999999</v>
      </c>
      <c r="I14" s="56">
        <f>SUM(I11:I13)</f>
        <v>9.0499999999999989</v>
      </c>
      <c r="J14" s="57">
        <f>SUM(J11:J13)</f>
        <v>49.8</v>
      </c>
    </row>
    <row r="15" spans="1:10" ht="15.6" x14ac:dyDescent="0.3">
      <c r="A15" s="2" t="s">
        <v>12</v>
      </c>
      <c r="B15" s="3" t="s">
        <v>13</v>
      </c>
      <c r="C15" s="39">
        <v>59</v>
      </c>
      <c r="D15" s="40" t="s">
        <v>39</v>
      </c>
      <c r="E15" s="85">
        <v>60</v>
      </c>
      <c r="F15" s="58">
        <f>8.67*60/60</f>
        <v>8.67</v>
      </c>
      <c r="G15" s="4">
        <f>77*60/60</f>
        <v>77</v>
      </c>
      <c r="H15" s="4">
        <f>1.32*60/60</f>
        <v>1.32</v>
      </c>
      <c r="I15" s="4">
        <f>4.54*60/60</f>
        <v>4.54</v>
      </c>
      <c r="J15" s="5">
        <f>6.69*60/60</f>
        <v>6.69</v>
      </c>
    </row>
    <row r="16" spans="1:10" ht="15.6" x14ac:dyDescent="0.3">
      <c r="A16" s="6"/>
      <c r="B16" s="7" t="s">
        <v>14</v>
      </c>
      <c r="C16" s="41">
        <v>55</v>
      </c>
      <c r="D16" s="42" t="s">
        <v>44</v>
      </c>
      <c r="E16" s="83">
        <v>250</v>
      </c>
      <c r="F16" s="55">
        <f>10.06*250/200+5.88*0</f>
        <v>12.574999999999999</v>
      </c>
      <c r="G16" s="8">
        <v>148.80000000000001</v>
      </c>
      <c r="H16" s="8">
        <v>3.88</v>
      </c>
      <c r="I16" s="8">
        <v>3.95</v>
      </c>
      <c r="J16" s="9">
        <v>20.02</v>
      </c>
    </row>
    <row r="17" spans="1:10" ht="15.6" x14ac:dyDescent="0.3">
      <c r="A17" s="6"/>
      <c r="B17" s="7" t="s">
        <v>15</v>
      </c>
      <c r="C17" s="41">
        <v>19</v>
      </c>
      <c r="D17" s="42" t="s">
        <v>40</v>
      </c>
      <c r="E17" s="83">
        <v>90</v>
      </c>
      <c r="F17" s="55">
        <f>38.92*47/53+12.59*43/37</f>
        <v>49.145583885772567</v>
      </c>
      <c r="G17" s="8">
        <v>151</v>
      </c>
      <c r="H17" s="8">
        <v>11.35</v>
      </c>
      <c r="I17" s="8">
        <v>12.51</v>
      </c>
      <c r="J17" s="9">
        <v>3.76</v>
      </c>
    </row>
    <row r="18" spans="1:10" ht="15.6" x14ac:dyDescent="0.3">
      <c r="A18" s="6"/>
      <c r="B18" s="7" t="s">
        <v>41</v>
      </c>
      <c r="C18" s="41">
        <v>45</v>
      </c>
      <c r="D18" s="42" t="s">
        <v>51</v>
      </c>
      <c r="E18" s="83">
        <v>150</v>
      </c>
      <c r="F18" s="55">
        <v>16.41</v>
      </c>
      <c r="G18" s="8">
        <v>210</v>
      </c>
      <c r="H18" s="8">
        <v>3.9</v>
      </c>
      <c r="I18" s="8">
        <v>5.47</v>
      </c>
      <c r="J18" s="9">
        <v>30.19</v>
      </c>
    </row>
    <row r="19" spans="1:10" ht="15.6" x14ac:dyDescent="0.3">
      <c r="A19" s="6"/>
      <c r="B19" s="7" t="s">
        <v>23</v>
      </c>
      <c r="C19" s="41">
        <v>35</v>
      </c>
      <c r="D19" s="42" t="s">
        <v>42</v>
      </c>
      <c r="E19" s="83">
        <v>200</v>
      </c>
      <c r="F19" s="55">
        <v>5.59</v>
      </c>
      <c r="G19" s="8">
        <v>97</v>
      </c>
      <c r="H19" s="8">
        <v>0.68</v>
      </c>
      <c r="I19" s="8">
        <v>0.28000000000000003</v>
      </c>
      <c r="J19" s="9">
        <v>19.64</v>
      </c>
    </row>
    <row r="20" spans="1:10" ht="15.6" x14ac:dyDescent="0.3">
      <c r="A20" s="6"/>
      <c r="B20" s="7" t="s">
        <v>17</v>
      </c>
      <c r="C20" s="41" t="s">
        <v>20</v>
      </c>
      <c r="D20" s="38" t="s">
        <v>21</v>
      </c>
      <c r="E20" s="83">
        <v>32</v>
      </c>
      <c r="F20" s="55">
        <f>57.54*0.032</f>
        <v>1.84128</v>
      </c>
      <c r="G20" s="8">
        <f>42*32/20</f>
        <v>67.2</v>
      </c>
      <c r="H20" s="8">
        <f>0.98*32/20</f>
        <v>1.5680000000000001</v>
      </c>
      <c r="I20" s="8">
        <f>0.2*32/20</f>
        <v>0.32</v>
      </c>
      <c r="J20" s="9">
        <f>8.96*32/20</f>
        <v>14.336000000000002</v>
      </c>
    </row>
    <row r="21" spans="1:10" ht="15.6" x14ac:dyDescent="0.3">
      <c r="A21" s="6"/>
      <c r="B21" s="11" t="s">
        <v>16</v>
      </c>
      <c r="C21" s="43" t="s">
        <v>20</v>
      </c>
      <c r="D21" s="38" t="s">
        <v>24</v>
      </c>
      <c r="E21" s="83">
        <v>33</v>
      </c>
      <c r="F21" s="55">
        <v>2.56</v>
      </c>
      <c r="G21" s="8">
        <f>47*33/20</f>
        <v>77.55</v>
      </c>
      <c r="H21" s="8">
        <f>1.52*33/20</f>
        <v>2.508</v>
      </c>
      <c r="I21" s="8">
        <f>0.16*33/20</f>
        <v>0.26400000000000001</v>
      </c>
      <c r="J21" s="9">
        <f>9.84*33/20</f>
        <v>16.235999999999997</v>
      </c>
    </row>
    <row r="22" spans="1:10" ht="16.2" thickBot="1" x14ac:dyDescent="0.35">
      <c r="A22" s="31"/>
      <c r="B22" s="32"/>
      <c r="C22" s="33"/>
      <c r="D22" s="33"/>
      <c r="E22" s="87"/>
      <c r="F22" s="61">
        <f>SUM(F15:F21)</f>
        <v>96.791863885772571</v>
      </c>
      <c r="G22" s="34">
        <f>SUM(G15:G21)</f>
        <v>828.55</v>
      </c>
      <c r="H22" s="34">
        <f>SUM(H15:H21)</f>
        <v>25.206</v>
      </c>
      <c r="I22" s="34">
        <f>SUM(I15:I21)</f>
        <v>27.334</v>
      </c>
      <c r="J22" s="35">
        <f>SUM(J15:J21)</f>
        <v>110.87199999999999</v>
      </c>
    </row>
    <row r="23" spans="1:10" ht="16.2" thickBot="1" x14ac:dyDescent="0.35">
      <c r="B23" s="1" t="s">
        <v>49</v>
      </c>
      <c r="E23" s="36"/>
      <c r="F23" s="36"/>
    </row>
    <row r="24" spans="1:10" ht="29.4" thickBot="1" x14ac:dyDescent="0.35">
      <c r="A24" s="70" t="s">
        <v>1</v>
      </c>
      <c r="B24" s="71" t="s">
        <v>2</v>
      </c>
      <c r="C24" s="71" t="s">
        <v>18</v>
      </c>
      <c r="D24" s="71" t="s">
        <v>3</v>
      </c>
      <c r="E24" s="72" t="s">
        <v>19</v>
      </c>
      <c r="F24" s="72" t="s">
        <v>4</v>
      </c>
      <c r="G24" s="73" t="s">
        <v>5</v>
      </c>
      <c r="H24" s="71" t="s">
        <v>6</v>
      </c>
      <c r="I24" s="71" t="s">
        <v>7</v>
      </c>
      <c r="J24" s="74" t="s">
        <v>8</v>
      </c>
    </row>
    <row r="25" spans="1:10" ht="28.8" x14ac:dyDescent="0.3">
      <c r="A25" s="6" t="s">
        <v>9</v>
      </c>
      <c r="B25" s="88" t="s">
        <v>10</v>
      </c>
      <c r="C25" s="89">
        <v>37</v>
      </c>
      <c r="D25" s="90" t="s">
        <v>35</v>
      </c>
      <c r="E25" s="82">
        <v>200</v>
      </c>
      <c r="F25" s="64">
        <f>40.51*200/200</f>
        <v>40.51</v>
      </c>
      <c r="G25" s="10">
        <f>307.5*200/200</f>
        <v>307.5</v>
      </c>
      <c r="H25" s="10">
        <f>13.63*200/200</f>
        <v>13.63</v>
      </c>
      <c r="I25" s="10">
        <f>13.64*200/200</f>
        <v>13.64</v>
      </c>
      <c r="J25" s="30">
        <f>36.54*200/200</f>
        <v>36.54</v>
      </c>
    </row>
    <row r="26" spans="1:10" ht="28.8" x14ac:dyDescent="0.3">
      <c r="A26" s="6"/>
      <c r="B26" s="75" t="s">
        <v>34</v>
      </c>
      <c r="C26" s="62">
        <v>27</v>
      </c>
      <c r="D26" s="63" t="s">
        <v>50</v>
      </c>
      <c r="E26" s="82">
        <v>100</v>
      </c>
      <c r="F26" s="64">
        <v>15.24</v>
      </c>
      <c r="G26" s="10">
        <f>47*100/60</f>
        <v>78.333333333333329</v>
      </c>
      <c r="H26" s="10">
        <f>0.72*100/60</f>
        <v>1.2</v>
      </c>
      <c r="I26" s="10">
        <f>2.82*100/60</f>
        <v>4.7</v>
      </c>
      <c r="J26" s="30">
        <f>4.62*100/60</f>
        <v>7.7</v>
      </c>
    </row>
    <row r="27" spans="1:10" ht="15.6" x14ac:dyDescent="0.3">
      <c r="A27" s="6"/>
      <c r="B27" s="24" t="s">
        <v>11</v>
      </c>
      <c r="C27" s="37">
        <v>20</v>
      </c>
      <c r="D27" s="38" t="s">
        <v>36</v>
      </c>
      <c r="E27" s="83">
        <v>200</v>
      </c>
      <c r="F27" s="55">
        <v>3.68</v>
      </c>
      <c r="G27" s="8">
        <v>51.49</v>
      </c>
      <c r="H27" s="8">
        <v>0.92</v>
      </c>
      <c r="I27" s="8">
        <v>0.69</v>
      </c>
      <c r="J27" s="9">
        <v>10.41</v>
      </c>
    </row>
    <row r="28" spans="1:10" ht="15.6" x14ac:dyDescent="0.3">
      <c r="A28" s="6"/>
      <c r="B28" s="24" t="s">
        <v>29</v>
      </c>
      <c r="C28" s="37" t="s">
        <v>20</v>
      </c>
      <c r="D28" s="38" t="s">
        <v>33</v>
      </c>
      <c r="E28" s="83">
        <v>40</v>
      </c>
      <c r="F28" s="55">
        <f>275.55*0.04</f>
        <v>11.022</v>
      </c>
      <c r="G28" s="8">
        <v>120</v>
      </c>
      <c r="H28" s="8">
        <v>3.8</v>
      </c>
      <c r="I28" s="8">
        <v>0.4</v>
      </c>
      <c r="J28" s="9">
        <v>24.3</v>
      </c>
    </row>
    <row r="29" spans="1:10" ht="15.6" x14ac:dyDescent="0.3">
      <c r="A29" s="6"/>
      <c r="B29" s="75" t="s">
        <v>16</v>
      </c>
      <c r="C29" s="37" t="s">
        <v>20</v>
      </c>
      <c r="D29" s="38" t="s">
        <v>21</v>
      </c>
      <c r="E29" s="83">
        <v>33</v>
      </c>
      <c r="F29" s="55">
        <f>57.54*0.033</f>
        <v>1.89882</v>
      </c>
      <c r="G29" s="8">
        <f>42*33/20</f>
        <v>69.3</v>
      </c>
      <c r="H29" s="8">
        <f>0.98*33/20</f>
        <v>1.6169999999999998</v>
      </c>
      <c r="I29" s="8">
        <f>0.2*33/20</f>
        <v>0.33</v>
      </c>
      <c r="J29" s="9">
        <f>8.96*33/20</f>
        <v>14.784000000000001</v>
      </c>
    </row>
    <row r="30" spans="1:10" ht="15.6" x14ac:dyDescent="0.3">
      <c r="A30" s="6"/>
      <c r="B30" s="44" t="s">
        <v>17</v>
      </c>
      <c r="C30" s="37" t="s">
        <v>20</v>
      </c>
      <c r="D30" s="38" t="s">
        <v>24</v>
      </c>
      <c r="E30" s="83">
        <v>34</v>
      </c>
      <c r="F30" s="55">
        <f>78.6*0.034</f>
        <v>2.6724000000000001</v>
      </c>
      <c r="G30" s="8">
        <f>47*34/20</f>
        <v>79.900000000000006</v>
      </c>
      <c r="H30" s="8">
        <f>1.52*34/20</f>
        <v>2.5840000000000001</v>
      </c>
      <c r="I30" s="8">
        <f>0.16*34/20</f>
        <v>0.27200000000000002</v>
      </c>
      <c r="J30" s="9">
        <f>9.84*34/20</f>
        <v>16.728000000000002</v>
      </c>
    </row>
    <row r="31" spans="1:10" ht="16.2" thickBot="1" x14ac:dyDescent="0.35">
      <c r="A31" s="49"/>
      <c r="B31" s="50"/>
      <c r="C31" s="51"/>
      <c r="D31" s="52"/>
      <c r="E31" s="84"/>
      <c r="F31" s="59">
        <f>SUM(F25:F30)</f>
        <v>75.023219999999995</v>
      </c>
      <c r="G31" s="53">
        <f>SUM(G25:G30)</f>
        <v>706.5233333333332</v>
      </c>
      <c r="H31" s="53">
        <f>SUM(H25:H30)</f>
        <v>23.751000000000001</v>
      </c>
      <c r="I31" s="53">
        <f>SUM(I25:I30)</f>
        <v>20.031999999999996</v>
      </c>
      <c r="J31" s="69">
        <f>SUM(J25:J30)</f>
        <v>110.46200000000002</v>
      </c>
    </row>
    <row r="32" spans="1:10" ht="15.6" x14ac:dyDescent="0.3">
      <c r="A32" s="2" t="s">
        <v>22</v>
      </c>
      <c r="B32" s="3" t="s">
        <v>11</v>
      </c>
      <c r="C32" s="39">
        <v>8</v>
      </c>
      <c r="D32" s="40" t="s">
        <v>37</v>
      </c>
      <c r="E32" s="85">
        <v>200</v>
      </c>
      <c r="F32" s="58">
        <v>18.12</v>
      </c>
      <c r="G32" s="4">
        <v>124</v>
      </c>
      <c r="H32" s="4">
        <v>5.8</v>
      </c>
      <c r="I32" s="4">
        <v>7</v>
      </c>
      <c r="J32" s="5">
        <v>9.4</v>
      </c>
    </row>
    <row r="33" spans="1:13" ht="15.6" x14ac:dyDescent="0.3">
      <c r="A33" s="6"/>
      <c r="B33" s="24" t="s">
        <v>29</v>
      </c>
      <c r="C33" s="66" t="s">
        <v>20</v>
      </c>
      <c r="D33" s="67" t="s">
        <v>38</v>
      </c>
      <c r="E33" s="82">
        <v>179</v>
      </c>
      <c r="F33" s="64">
        <v>30.02</v>
      </c>
      <c r="G33" s="10">
        <f>47*179/100</f>
        <v>84.13</v>
      </c>
      <c r="H33" s="10">
        <f>0.4*179/100</f>
        <v>0.71600000000000008</v>
      </c>
      <c r="I33" s="10">
        <f>0.4*179/100</f>
        <v>0.71600000000000008</v>
      </c>
      <c r="J33" s="30">
        <f>9.8*179/100</f>
        <v>17.542000000000002</v>
      </c>
    </row>
    <row r="34" spans="1:13" ht="15.6" x14ac:dyDescent="0.3">
      <c r="A34" s="6"/>
      <c r="B34" s="24" t="s">
        <v>29</v>
      </c>
      <c r="C34" s="41" t="s">
        <v>20</v>
      </c>
      <c r="D34" s="42" t="s">
        <v>31</v>
      </c>
      <c r="E34" s="83">
        <v>80</v>
      </c>
      <c r="F34" s="55">
        <f>101.5*0.08</f>
        <v>8.120000000000001</v>
      </c>
      <c r="G34" s="8">
        <v>209.6</v>
      </c>
      <c r="H34" s="8">
        <v>6</v>
      </c>
      <c r="I34" s="8">
        <v>2.3199999999999998</v>
      </c>
      <c r="J34" s="9">
        <v>41.12</v>
      </c>
    </row>
    <row r="35" spans="1:13" ht="16.2" thickBot="1" x14ac:dyDescent="0.35">
      <c r="A35" s="45"/>
      <c r="B35" s="32"/>
      <c r="C35" s="46"/>
      <c r="D35" s="47"/>
      <c r="E35" s="86"/>
      <c r="F35" s="60">
        <f>SUM(F32:F34)</f>
        <v>56.260000000000005</v>
      </c>
      <c r="G35" s="56">
        <f>SUM(G32:G34)</f>
        <v>417.73</v>
      </c>
      <c r="H35" s="56">
        <f>SUM(H32:H34)</f>
        <v>12.516</v>
      </c>
      <c r="I35" s="56">
        <f>SUM(I32:I34)</f>
        <v>10.036</v>
      </c>
      <c r="J35" s="57">
        <f>SUM(J32:J34)</f>
        <v>68.061999999999998</v>
      </c>
    </row>
    <row r="36" spans="1:13" ht="15.6" x14ac:dyDescent="0.3">
      <c r="A36" s="2" t="s">
        <v>12</v>
      </c>
      <c r="B36" s="3" t="s">
        <v>13</v>
      </c>
      <c r="C36" s="39">
        <v>59</v>
      </c>
      <c r="D36" s="40" t="s">
        <v>39</v>
      </c>
      <c r="E36" s="85">
        <v>100</v>
      </c>
      <c r="F36" s="58">
        <v>14.35</v>
      </c>
      <c r="G36" s="4">
        <f>128.33*100/100</f>
        <v>128.33000000000001</v>
      </c>
      <c r="H36" s="4">
        <f>2.2*100/100</f>
        <v>2.2000000000000002</v>
      </c>
      <c r="I36" s="4">
        <f>7.57*100/100</f>
        <v>7.57</v>
      </c>
      <c r="J36" s="5">
        <f>11.15*100/100</f>
        <v>11.15</v>
      </c>
    </row>
    <row r="37" spans="1:13" ht="15.6" x14ac:dyDescent="0.3">
      <c r="A37" s="6"/>
      <c r="B37" s="7" t="s">
        <v>14</v>
      </c>
      <c r="C37" s="41">
        <v>55</v>
      </c>
      <c r="D37" s="42" t="s">
        <v>44</v>
      </c>
      <c r="E37" s="83">
        <v>250</v>
      </c>
      <c r="F37" s="55">
        <f>10.06*250/200+5.88*0</f>
        <v>12.574999999999999</v>
      </c>
      <c r="G37" s="8">
        <v>186</v>
      </c>
      <c r="H37" s="8">
        <v>4.8499999999999996</v>
      </c>
      <c r="I37" s="8">
        <v>4.9400000000000004</v>
      </c>
      <c r="J37" s="9">
        <v>25.03</v>
      </c>
      <c r="M37" t="s">
        <v>30</v>
      </c>
    </row>
    <row r="38" spans="1:13" ht="15.6" x14ac:dyDescent="0.3">
      <c r="A38" s="6"/>
      <c r="B38" s="7" t="s">
        <v>15</v>
      </c>
      <c r="C38" s="41">
        <v>19</v>
      </c>
      <c r="D38" s="42" t="s">
        <v>40</v>
      </c>
      <c r="E38" s="83">
        <v>100</v>
      </c>
      <c r="F38" s="55">
        <f>43.13*55/59+14.36*45/41</f>
        <v>55.96690781314593</v>
      </c>
      <c r="G38" s="8">
        <v>167.78</v>
      </c>
      <c r="H38" s="8">
        <v>12.61</v>
      </c>
      <c r="I38" s="8">
        <v>13.9</v>
      </c>
      <c r="J38" s="9">
        <v>4.18</v>
      </c>
    </row>
    <row r="39" spans="1:13" ht="15.6" x14ac:dyDescent="0.3">
      <c r="A39" s="6"/>
      <c r="B39" s="7" t="s">
        <v>41</v>
      </c>
      <c r="C39" s="41">
        <v>45</v>
      </c>
      <c r="D39" s="42" t="s">
        <v>51</v>
      </c>
      <c r="E39" s="83">
        <v>180</v>
      </c>
      <c r="F39" s="55">
        <v>19.29</v>
      </c>
      <c r="G39" s="8">
        <f>252/180*180</f>
        <v>251.99999999999997</v>
      </c>
      <c r="H39" s="8">
        <f>4.68/180*180</f>
        <v>4.68</v>
      </c>
      <c r="I39" s="8">
        <f>6.56/180*180</f>
        <v>6.5599999999999987</v>
      </c>
      <c r="J39" s="9">
        <f>26.23/180*180</f>
        <v>26.23</v>
      </c>
    </row>
    <row r="40" spans="1:13" ht="15.6" x14ac:dyDescent="0.3">
      <c r="A40" s="6"/>
      <c r="B40" s="7" t="s">
        <v>23</v>
      </c>
      <c r="C40" s="41">
        <v>35</v>
      </c>
      <c r="D40" s="42" t="s">
        <v>42</v>
      </c>
      <c r="E40" s="83">
        <v>200</v>
      </c>
      <c r="F40" s="55">
        <v>5.59</v>
      </c>
      <c r="G40" s="8">
        <v>97</v>
      </c>
      <c r="H40" s="8">
        <v>0.68</v>
      </c>
      <c r="I40" s="8">
        <v>0.28000000000000003</v>
      </c>
      <c r="J40" s="9">
        <v>19.64</v>
      </c>
    </row>
    <row r="41" spans="1:13" ht="15.6" x14ac:dyDescent="0.3">
      <c r="A41" s="6"/>
      <c r="B41" s="7" t="s">
        <v>17</v>
      </c>
      <c r="C41" s="41" t="s">
        <v>20</v>
      </c>
      <c r="D41" s="38" t="s">
        <v>21</v>
      </c>
      <c r="E41" s="83">
        <v>35</v>
      </c>
      <c r="F41" s="55">
        <f>57.54*0.035</f>
        <v>2.0139</v>
      </c>
      <c r="G41" s="8">
        <f>42*35/20</f>
        <v>73.5</v>
      </c>
      <c r="H41" s="8">
        <f>0.98*35/20</f>
        <v>1.7149999999999999</v>
      </c>
      <c r="I41" s="8">
        <f>0.2*35/20</f>
        <v>0.35</v>
      </c>
      <c r="J41" s="9">
        <f>8.96*35/20</f>
        <v>15.680000000000001</v>
      </c>
    </row>
    <row r="42" spans="1:13" ht="15.6" x14ac:dyDescent="0.3">
      <c r="A42" s="6"/>
      <c r="B42" s="11" t="s">
        <v>16</v>
      </c>
      <c r="C42" s="43" t="s">
        <v>20</v>
      </c>
      <c r="D42" s="38" t="s">
        <v>24</v>
      </c>
      <c r="E42" s="83">
        <v>35</v>
      </c>
      <c r="F42" s="55">
        <v>2.73</v>
      </c>
      <c r="G42" s="8">
        <f>47*35/20</f>
        <v>82.25</v>
      </c>
      <c r="H42" s="8">
        <f>1.52*35/20</f>
        <v>2.66</v>
      </c>
      <c r="I42" s="8">
        <f>0.16*35/20</f>
        <v>0.28000000000000003</v>
      </c>
      <c r="J42" s="9">
        <f>9.84*35/20</f>
        <v>17.22</v>
      </c>
    </row>
    <row r="43" spans="1:13" s="17" customFormat="1" ht="16.2" thickBot="1" x14ac:dyDescent="0.35">
      <c r="A43" s="31"/>
      <c r="B43" s="32"/>
      <c r="C43" s="33"/>
      <c r="D43" s="33"/>
      <c r="E43" s="87"/>
      <c r="F43" s="61">
        <f>SUM(F36:F42)</f>
        <v>112.51580781314594</v>
      </c>
      <c r="G43" s="34">
        <f>SUM(G36:G42)</f>
        <v>986.86</v>
      </c>
      <c r="H43" s="34">
        <f>SUM(H36:H42)</f>
        <v>29.395</v>
      </c>
      <c r="I43" s="34">
        <f>SUM(I36:I42)</f>
        <v>33.880000000000003</v>
      </c>
      <c r="J43" s="35">
        <f>SUM(J36:J42)</f>
        <v>119.13000000000001</v>
      </c>
    </row>
    <row r="44" spans="1:13" ht="24.6" customHeight="1" x14ac:dyDescent="0.3">
      <c r="A44" s="16" t="s">
        <v>27</v>
      </c>
    </row>
    <row r="45" spans="1:13" ht="24.6" customHeight="1" x14ac:dyDescent="0.3">
      <c r="A45" s="16" t="s">
        <v>32</v>
      </c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6" fitToHeight="0" orientation="portrait" horizontalDpi="4294967295" verticalDpi="4294967295" r:id="rId1"/>
  <ignoredErrors>
    <ignoredError sqref="J10 G35 H35:J35 F31:J31 G15:J15 F10 J1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tabSelected="1" zoomScaleNormal="100" workbookViewId="0">
      <selection activeCell="I1" sqref="I1"/>
    </sheetView>
  </sheetViews>
  <sheetFormatPr defaultRowHeight="14.4" x14ac:dyDescent="0.3"/>
  <cols>
    <col min="1" max="1" width="11.77734375" style="17" bestFit="1" customWidth="1"/>
    <col min="2" max="2" width="11.5546875" style="17" customWidth="1"/>
    <col min="3" max="3" width="7.109375" style="17" bestFit="1" customWidth="1"/>
    <col min="4" max="4" width="29.33203125" style="17" customWidth="1"/>
    <col min="5" max="5" width="9.44140625" style="18" customWidth="1"/>
    <col min="6" max="6" width="8.77734375" style="18" customWidth="1"/>
    <col min="7" max="7" width="8.21875" style="17" customWidth="1"/>
    <col min="8" max="8" width="6.5546875" style="17" bestFit="1" customWidth="1"/>
    <col min="9" max="9" width="12" style="17" customWidth="1"/>
    <col min="10" max="10" width="10.6640625" style="17" customWidth="1"/>
    <col min="11" max="16384" width="8.88671875" style="17"/>
  </cols>
  <sheetData>
    <row r="1" spans="1:10" ht="28.8" customHeight="1" x14ac:dyDescent="0.3">
      <c r="A1" s="17" t="s">
        <v>0</v>
      </c>
      <c r="B1" s="92" t="s">
        <v>55</v>
      </c>
      <c r="C1" s="93"/>
      <c r="D1" s="94"/>
      <c r="E1" s="18" t="s">
        <v>25</v>
      </c>
      <c r="F1" s="19"/>
      <c r="H1" t="s">
        <v>43</v>
      </c>
      <c r="I1" s="12">
        <v>45782</v>
      </c>
      <c r="J1" s="68"/>
    </row>
    <row r="2" spans="1:10" ht="15" thickBot="1" x14ac:dyDescent="0.35">
      <c r="B2" s="20" t="s">
        <v>28</v>
      </c>
    </row>
    <row r="3" spans="1:10" s="21" customFormat="1" ht="29.4" thickBot="1" x14ac:dyDescent="0.35">
      <c r="A3" s="76" t="s">
        <v>1</v>
      </c>
      <c r="B3" s="77" t="s">
        <v>2</v>
      </c>
      <c r="C3" s="77" t="s">
        <v>18</v>
      </c>
      <c r="D3" s="77" t="s">
        <v>3</v>
      </c>
      <c r="E3" s="78" t="s">
        <v>19</v>
      </c>
      <c r="F3" s="78" t="s">
        <v>4</v>
      </c>
      <c r="G3" s="79" t="s">
        <v>5</v>
      </c>
      <c r="H3" s="77" t="s">
        <v>6</v>
      </c>
      <c r="I3" s="77" t="s">
        <v>7</v>
      </c>
      <c r="J3" s="80" t="s">
        <v>8</v>
      </c>
    </row>
    <row r="4" spans="1:10" s="21" customFormat="1" ht="28.8" x14ac:dyDescent="0.3">
      <c r="A4" s="91" t="s">
        <v>9</v>
      </c>
      <c r="B4" s="88" t="s">
        <v>10</v>
      </c>
      <c r="C4" s="89">
        <v>37</v>
      </c>
      <c r="D4" s="90" t="s">
        <v>35</v>
      </c>
      <c r="E4" s="85">
        <v>170</v>
      </c>
      <c r="F4" s="58">
        <f>45.33*170/160</f>
        <v>48.163124999999994</v>
      </c>
      <c r="G4" s="4">
        <f>246*170/160</f>
        <v>261.375</v>
      </c>
      <c r="H4" s="4">
        <f>10.9*170/160</f>
        <v>11.581250000000001</v>
      </c>
      <c r="I4" s="4">
        <f>10.91*170/160</f>
        <v>11.591875</v>
      </c>
      <c r="J4" s="5">
        <f>29.23*170/160</f>
        <v>31.056875000000002</v>
      </c>
    </row>
    <row r="5" spans="1:10" ht="28.8" x14ac:dyDescent="0.3">
      <c r="A5" s="81"/>
      <c r="B5" s="75" t="s">
        <v>34</v>
      </c>
      <c r="C5" s="62">
        <v>27</v>
      </c>
      <c r="D5" s="63" t="s">
        <v>50</v>
      </c>
      <c r="E5" s="82">
        <v>65</v>
      </c>
      <c r="F5" s="64">
        <f>12.16*65/60</f>
        <v>13.173333333333334</v>
      </c>
      <c r="G5" s="10">
        <f>47*65/60</f>
        <v>50.916666666666664</v>
      </c>
      <c r="H5" s="10">
        <f>0.72*65/60</f>
        <v>0.77999999999999992</v>
      </c>
      <c r="I5" s="10">
        <f>2.82*65/60</f>
        <v>3.0549999999999997</v>
      </c>
      <c r="J5" s="30">
        <f>4.62*65/60</f>
        <v>5.0049999999999999</v>
      </c>
    </row>
    <row r="6" spans="1:10" ht="15.6" x14ac:dyDescent="0.3">
      <c r="A6" s="81"/>
      <c r="B6" s="24" t="s">
        <v>11</v>
      </c>
      <c r="C6" s="37">
        <v>20</v>
      </c>
      <c r="D6" s="38" t="s">
        <v>36</v>
      </c>
      <c r="E6" s="83">
        <v>200</v>
      </c>
      <c r="F6" s="55">
        <v>4.96</v>
      </c>
      <c r="G6" s="8">
        <v>51.49</v>
      </c>
      <c r="H6" s="8">
        <v>0.92</v>
      </c>
      <c r="I6" s="8">
        <v>0.69</v>
      </c>
      <c r="J6" s="9">
        <v>10.41</v>
      </c>
    </row>
    <row r="7" spans="1:10" ht="15.6" x14ac:dyDescent="0.3">
      <c r="A7" s="81"/>
      <c r="B7" s="75" t="s">
        <v>34</v>
      </c>
      <c r="C7" s="37" t="s">
        <v>20</v>
      </c>
      <c r="D7" s="38" t="s">
        <v>33</v>
      </c>
      <c r="E7" s="83">
        <v>40</v>
      </c>
      <c r="F7" s="55">
        <f>275.55*0.04*1.33</f>
        <v>14.659260000000002</v>
      </c>
      <c r="G7" s="8">
        <v>96</v>
      </c>
      <c r="H7" s="8">
        <v>3.04</v>
      </c>
      <c r="I7" s="8">
        <v>0.32</v>
      </c>
      <c r="J7" s="9">
        <v>19.440000000000001</v>
      </c>
    </row>
    <row r="8" spans="1:10" ht="15.6" x14ac:dyDescent="0.3">
      <c r="A8" s="81"/>
      <c r="B8" s="75" t="s">
        <v>16</v>
      </c>
      <c r="C8" s="37" t="s">
        <v>20</v>
      </c>
      <c r="D8" s="38" t="s">
        <v>21</v>
      </c>
      <c r="E8" s="83">
        <v>31</v>
      </c>
      <c r="F8" s="55">
        <v>2.12</v>
      </c>
      <c r="G8" s="8">
        <f>42*31/20</f>
        <v>65.099999999999994</v>
      </c>
      <c r="H8" s="8">
        <f>0.98*31/20</f>
        <v>1.5189999999999999</v>
      </c>
      <c r="I8" s="8">
        <f>0.2*31/20</f>
        <v>0.31</v>
      </c>
      <c r="J8" s="9">
        <f>8.96*31/20</f>
        <v>13.888000000000002</v>
      </c>
    </row>
    <row r="9" spans="1:10" ht="15.6" x14ac:dyDescent="0.3">
      <c r="A9" s="81"/>
      <c r="B9" s="44" t="s">
        <v>17</v>
      </c>
      <c r="C9" s="37" t="s">
        <v>20</v>
      </c>
      <c r="D9" s="38" t="s">
        <v>24</v>
      </c>
      <c r="E9" s="83">
        <v>31</v>
      </c>
      <c r="F9" s="55">
        <f>94.32*0.031</f>
        <v>2.9239199999999999</v>
      </c>
      <c r="G9" s="8">
        <f>47*31/20</f>
        <v>72.849999999999994</v>
      </c>
      <c r="H9" s="8">
        <f>1.52*31/20</f>
        <v>2.3559999999999999</v>
      </c>
      <c r="I9" s="8">
        <f>0.16*31/20</f>
        <v>0.248</v>
      </c>
      <c r="J9" s="9">
        <f>9.84*31/20</f>
        <v>15.252000000000001</v>
      </c>
    </row>
    <row r="10" spans="1:10" ht="16.2" thickBot="1" x14ac:dyDescent="0.35">
      <c r="A10" s="31"/>
      <c r="B10" s="32"/>
      <c r="C10" s="46"/>
      <c r="D10" s="47"/>
      <c r="E10" s="48"/>
      <c r="F10" s="60">
        <f>SUM(F4:F9)</f>
        <v>85.999638333333323</v>
      </c>
      <c r="G10" s="56">
        <f>SUM(G4:G9)</f>
        <v>597.73166666666668</v>
      </c>
      <c r="H10" s="56">
        <f>SUM(H4:H9)</f>
        <v>20.196249999999999</v>
      </c>
      <c r="I10" s="56">
        <f>SUM(I4:I9)</f>
        <v>16.214874999999999</v>
      </c>
      <c r="J10" s="57">
        <f>SUM(J4:J9)</f>
        <v>95.051874999999995</v>
      </c>
    </row>
    <row r="11" spans="1:10" ht="15.6" x14ac:dyDescent="0.3">
      <c r="A11" s="23"/>
      <c r="B11" s="7" t="s">
        <v>15</v>
      </c>
      <c r="C11" s="41">
        <v>12</v>
      </c>
      <c r="D11" s="42" t="s">
        <v>45</v>
      </c>
      <c r="E11" s="83">
        <v>90</v>
      </c>
      <c r="F11" s="55">
        <v>53.43</v>
      </c>
      <c r="G11" s="8">
        <f>210.47/90*90</f>
        <v>210.47000000000003</v>
      </c>
      <c r="H11" s="8">
        <f>11.45/90*90</f>
        <v>11.45</v>
      </c>
      <c r="I11" s="8">
        <f>13.49/90*90</f>
        <v>13.490000000000002</v>
      </c>
      <c r="J11" s="9">
        <f>10.79/90*90</f>
        <v>10.79</v>
      </c>
    </row>
    <row r="12" spans="1:10" ht="15.6" x14ac:dyDescent="0.3">
      <c r="A12" s="23"/>
      <c r="B12" s="7" t="s">
        <v>41</v>
      </c>
      <c r="C12" s="41">
        <v>7</v>
      </c>
      <c r="D12" s="42" t="s">
        <v>46</v>
      </c>
      <c r="E12" s="83">
        <v>150</v>
      </c>
      <c r="F12" s="55">
        <f>37.85/180*150</f>
        <v>31.541666666666668</v>
      </c>
      <c r="G12" s="8">
        <f>163/180*150</f>
        <v>135.83333333333334</v>
      </c>
      <c r="H12" s="8">
        <f>3.75/180*150</f>
        <v>3.125</v>
      </c>
      <c r="I12" s="8">
        <f>5.47/180*150</f>
        <v>4.5583333333333336</v>
      </c>
      <c r="J12" s="9">
        <f>21.98/180*150</f>
        <v>18.316666666666666</v>
      </c>
    </row>
    <row r="13" spans="1:10" ht="15.6" x14ac:dyDescent="0.3">
      <c r="A13" s="23"/>
      <c r="B13" s="75" t="s">
        <v>34</v>
      </c>
      <c r="C13" s="41">
        <v>31</v>
      </c>
      <c r="D13" s="42" t="s">
        <v>47</v>
      </c>
      <c r="E13" s="83">
        <v>15</v>
      </c>
      <c r="F13" s="55">
        <f>2.08/20*15</f>
        <v>1.56</v>
      </c>
      <c r="G13" s="8">
        <f>10.33/20*15</f>
        <v>7.7474999999999996</v>
      </c>
      <c r="H13" s="8">
        <f>0.29/20*15</f>
        <v>0.21749999999999997</v>
      </c>
      <c r="I13" s="8">
        <f>0.39/20*15</f>
        <v>0.29249999999999998</v>
      </c>
      <c r="J13" s="9">
        <f>1.36/20*15</f>
        <v>1.02</v>
      </c>
    </row>
    <row r="14" spans="1:10" customFormat="1" ht="15.6" x14ac:dyDescent="0.3">
      <c r="A14" s="6"/>
      <c r="B14" s="7" t="s">
        <v>23</v>
      </c>
      <c r="C14" s="41">
        <v>57</v>
      </c>
      <c r="D14" s="42" t="s">
        <v>53</v>
      </c>
      <c r="E14" s="83">
        <v>200</v>
      </c>
      <c r="F14" s="55">
        <v>1.45</v>
      </c>
      <c r="G14" s="8">
        <v>41</v>
      </c>
      <c r="H14" s="8">
        <v>0</v>
      </c>
      <c r="I14" s="8">
        <v>0</v>
      </c>
      <c r="J14" s="9">
        <v>10.01</v>
      </c>
    </row>
    <row r="15" spans="1:10" customFormat="1" ht="15.6" x14ac:dyDescent="0.3">
      <c r="A15" s="6"/>
      <c r="B15" s="11" t="s">
        <v>16</v>
      </c>
      <c r="C15" s="43" t="s">
        <v>20</v>
      </c>
      <c r="D15" s="38" t="s">
        <v>24</v>
      </c>
      <c r="E15" s="83">
        <v>22</v>
      </c>
      <c r="F15" s="55">
        <v>2.02</v>
      </c>
      <c r="G15" s="8">
        <f>47*22/20</f>
        <v>51.7</v>
      </c>
      <c r="H15" s="8">
        <f>1.52*22/20</f>
        <v>1.6719999999999999</v>
      </c>
      <c r="I15" s="8">
        <f>0.16*22/20</f>
        <v>0.17599999999999999</v>
      </c>
      <c r="J15" s="9">
        <f>9.84*22/20</f>
        <v>10.824</v>
      </c>
    </row>
    <row r="16" spans="1:10" customFormat="1" ht="16.2" thickBot="1" x14ac:dyDescent="0.35">
      <c r="A16" s="31"/>
      <c r="B16" s="32"/>
      <c r="C16" s="33"/>
      <c r="D16" s="33"/>
      <c r="E16" s="87"/>
      <c r="F16" s="61">
        <f>SUM(F11:F15)</f>
        <v>90.001666666666665</v>
      </c>
      <c r="G16" s="34">
        <f>SUM(G11:G15)</f>
        <v>446.75083333333339</v>
      </c>
      <c r="H16" s="34">
        <f t="shared" ref="H16:J16" si="0">SUM(H11:H15)</f>
        <v>16.464499999999997</v>
      </c>
      <c r="I16" s="34">
        <f t="shared" si="0"/>
        <v>18.516833333333334</v>
      </c>
      <c r="J16" s="34">
        <f t="shared" si="0"/>
        <v>50.960666666666661</v>
      </c>
    </row>
    <row r="17" spans="1:10" ht="15.6" x14ac:dyDescent="0.3">
      <c r="A17" s="23"/>
      <c r="B17" s="7" t="s">
        <v>15</v>
      </c>
      <c r="C17" s="41">
        <v>12</v>
      </c>
      <c r="D17" s="42" t="s">
        <v>45</v>
      </c>
      <c r="E17" s="83">
        <v>100</v>
      </c>
      <c r="F17" s="55">
        <v>65.13</v>
      </c>
      <c r="G17" s="8">
        <f>210.47/90*100</f>
        <v>233.85555555555558</v>
      </c>
      <c r="H17" s="8">
        <f>11.45/90*100</f>
        <v>12.722222222222221</v>
      </c>
      <c r="I17" s="8">
        <f>13.49/90*100</f>
        <v>14.988888888888891</v>
      </c>
      <c r="J17" s="9">
        <f>10.79/90*100</f>
        <v>11.988888888888887</v>
      </c>
    </row>
    <row r="18" spans="1:10" ht="15.6" x14ac:dyDescent="0.3">
      <c r="A18" s="23"/>
      <c r="B18" s="7" t="s">
        <v>41</v>
      </c>
      <c r="C18" s="41">
        <v>7</v>
      </c>
      <c r="D18" s="42" t="s">
        <v>46</v>
      </c>
      <c r="E18" s="83">
        <v>150</v>
      </c>
      <c r="F18" s="55">
        <f>37.85/180*150</f>
        <v>31.541666666666668</v>
      </c>
      <c r="G18" s="8">
        <f>163/180*170</f>
        <v>153.94444444444446</v>
      </c>
      <c r="H18" s="8">
        <f>3.75/180*170</f>
        <v>3.5416666666666665</v>
      </c>
      <c r="I18" s="8">
        <f>5.47/180*170</f>
        <v>5.1661111111111113</v>
      </c>
      <c r="J18" s="9">
        <f>21.98/180*170</f>
        <v>20.75888888888889</v>
      </c>
    </row>
    <row r="19" spans="1:10" ht="15.6" x14ac:dyDescent="0.3">
      <c r="A19" s="23"/>
      <c r="B19" s="75" t="s">
        <v>34</v>
      </c>
      <c r="C19" s="41">
        <v>31</v>
      </c>
      <c r="D19" s="42" t="s">
        <v>47</v>
      </c>
      <c r="E19" s="83">
        <v>20</v>
      </c>
      <c r="F19" s="55">
        <f>2.08/20*20</f>
        <v>2.08</v>
      </c>
      <c r="G19" s="8">
        <f>10.33/20*25</f>
        <v>12.9125</v>
      </c>
      <c r="H19" s="8">
        <f>0.29/20*25</f>
        <v>0.36249999999999999</v>
      </c>
      <c r="I19" s="8">
        <f>0.39/20*25</f>
        <v>0.48749999999999999</v>
      </c>
      <c r="J19" s="9">
        <f>1.36/20*25</f>
        <v>1.7000000000000002</v>
      </c>
    </row>
    <row r="20" spans="1:10" ht="15.6" x14ac:dyDescent="0.3">
      <c r="A20" s="23"/>
      <c r="B20" s="7" t="s">
        <v>23</v>
      </c>
      <c r="C20" s="41">
        <v>35</v>
      </c>
      <c r="D20" s="42" t="s">
        <v>42</v>
      </c>
      <c r="E20" s="83">
        <v>200</v>
      </c>
      <c r="F20" s="55">
        <v>7.43</v>
      </c>
      <c r="G20" s="8">
        <v>97</v>
      </c>
      <c r="H20" s="8">
        <v>0.68</v>
      </c>
      <c r="I20" s="8">
        <v>0.28000000000000003</v>
      </c>
      <c r="J20" s="9">
        <v>19.64</v>
      </c>
    </row>
    <row r="21" spans="1:10" ht="15.6" x14ac:dyDescent="0.3">
      <c r="A21" s="23"/>
      <c r="B21" s="7" t="s">
        <v>17</v>
      </c>
      <c r="C21" s="41" t="s">
        <v>20</v>
      </c>
      <c r="D21" s="38" t="s">
        <v>21</v>
      </c>
      <c r="E21" s="83">
        <v>23</v>
      </c>
      <c r="F21" s="55">
        <v>1.55</v>
      </c>
      <c r="G21" s="8">
        <f>42*23/20</f>
        <v>48.3</v>
      </c>
      <c r="H21" s="8">
        <f>0.98*23/20</f>
        <v>1.127</v>
      </c>
      <c r="I21" s="8">
        <f>0.2*23/20</f>
        <v>0.23000000000000004</v>
      </c>
      <c r="J21" s="9">
        <f>8.96*23/20</f>
        <v>10.304</v>
      </c>
    </row>
    <row r="22" spans="1:10" ht="15.6" x14ac:dyDescent="0.3">
      <c r="A22" s="23"/>
      <c r="B22" s="11" t="s">
        <v>16</v>
      </c>
      <c r="C22" s="43" t="s">
        <v>20</v>
      </c>
      <c r="D22" s="38" t="s">
        <v>24</v>
      </c>
      <c r="E22" s="83">
        <v>24</v>
      </c>
      <c r="F22" s="55">
        <f>94.32*0.024</f>
        <v>2.2636799999999999</v>
      </c>
      <c r="G22" s="8">
        <f>47*24/20</f>
        <v>56.4</v>
      </c>
      <c r="H22" s="8">
        <f>1.52*24/20</f>
        <v>1.8240000000000003</v>
      </c>
      <c r="I22" s="8">
        <f>0.16*24/20</f>
        <v>0.192</v>
      </c>
      <c r="J22" s="9">
        <f>9.84*24/20</f>
        <v>11.808</v>
      </c>
    </row>
    <row r="23" spans="1:10" ht="16.2" thickBot="1" x14ac:dyDescent="0.35">
      <c r="A23" s="25"/>
      <c r="B23" s="26"/>
      <c r="C23" s="27"/>
      <c r="D23" s="27"/>
      <c r="E23" s="54"/>
      <c r="F23" s="65">
        <f>SUM(F17:F22)</f>
        <v>109.99534666666666</v>
      </c>
      <c r="G23" s="28">
        <f>SUM(G17:G22)</f>
        <v>602.41250000000002</v>
      </c>
      <c r="H23" s="28">
        <f>SUM(H17:H22)</f>
        <v>20.25738888888889</v>
      </c>
      <c r="I23" s="28">
        <f>SUM(I17:I22)</f>
        <v>21.344500000000004</v>
      </c>
      <c r="J23" s="29">
        <f>SUM(J17:J22)</f>
        <v>76.199777777777769</v>
      </c>
    </row>
    <row r="24" spans="1:10" ht="28.8" x14ac:dyDescent="0.3">
      <c r="A24" s="22"/>
      <c r="B24" s="7" t="s">
        <v>14</v>
      </c>
      <c r="C24" s="41">
        <v>55</v>
      </c>
      <c r="D24" s="42" t="s">
        <v>52</v>
      </c>
      <c r="E24" s="83" t="s">
        <v>54</v>
      </c>
      <c r="F24" s="55">
        <f>13.38/200*240+7.82*1</f>
        <v>23.876000000000001</v>
      </c>
      <c r="G24" s="8">
        <v>186</v>
      </c>
      <c r="H24" s="8">
        <v>4.8499999999999996</v>
      </c>
      <c r="I24" s="8">
        <v>4.9400000000000004</v>
      </c>
      <c r="J24" s="9">
        <v>25.03</v>
      </c>
    </row>
    <row r="25" spans="1:10" ht="15.6" x14ac:dyDescent="0.3">
      <c r="A25" s="23"/>
      <c r="B25" s="7" t="s">
        <v>15</v>
      </c>
      <c r="C25" s="41">
        <v>12</v>
      </c>
      <c r="D25" s="42" t="s">
        <v>45</v>
      </c>
      <c r="E25" s="83">
        <v>100</v>
      </c>
      <c r="F25" s="55">
        <v>65.13</v>
      </c>
      <c r="G25" s="8">
        <f>210.47/90*100</f>
        <v>233.85555555555558</v>
      </c>
      <c r="H25" s="8">
        <f>11.45/90*100</f>
        <v>12.722222222222221</v>
      </c>
      <c r="I25" s="8">
        <f>13.49/90*100</f>
        <v>14.988888888888891</v>
      </c>
      <c r="J25" s="9">
        <f>10.79/90*100</f>
        <v>11.988888888888887</v>
      </c>
    </row>
    <row r="26" spans="1:10" ht="15.6" x14ac:dyDescent="0.3">
      <c r="A26" s="23"/>
      <c r="B26" s="7" t="s">
        <v>41</v>
      </c>
      <c r="C26" s="41">
        <v>7</v>
      </c>
      <c r="D26" s="42" t="s">
        <v>46</v>
      </c>
      <c r="E26" s="83">
        <v>150</v>
      </c>
      <c r="F26" s="55">
        <f>37.85/180*150</f>
        <v>31.541666666666668</v>
      </c>
      <c r="G26" s="8">
        <f>163/180*170</f>
        <v>153.94444444444446</v>
      </c>
      <c r="H26" s="8">
        <f>3.75/180*170</f>
        <v>3.5416666666666665</v>
      </c>
      <c r="I26" s="8">
        <f>5.47/180*170</f>
        <v>5.1661111111111113</v>
      </c>
      <c r="J26" s="9">
        <f>21.98/180*170</f>
        <v>20.75888888888889</v>
      </c>
    </row>
    <row r="27" spans="1:10" ht="15.6" x14ac:dyDescent="0.3">
      <c r="A27" s="23"/>
      <c r="B27" s="75" t="s">
        <v>34</v>
      </c>
      <c r="C27" s="41">
        <v>31</v>
      </c>
      <c r="D27" s="42" t="s">
        <v>47</v>
      </c>
      <c r="E27" s="83">
        <v>20</v>
      </c>
      <c r="F27" s="55">
        <f>2.08/20*20</f>
        <v>2.08</v>
      </c>
      <c r="G27" s="8">
        <f>10.33/20*25</f>
        <v>12.9125</v>
      </c>
      <c r="H27" s="8">
        <f>0.29/20*25</f>
        <v>0.36249999999999999</v>
      </c>
      <c r="I27" s="8">
        <f>0.39/20*25</f>
        <v>0.48749999999999999</v>
      </c>
      <c r="J27" s="9">
        <f>1.36/20*25</f>
        <v>1.7000000000000002</v>
      </c>
    </row>
    <row r="28" spans="1:10" ht="15.6" x14ac:dyDescent="0.3">
      <c r="A28" s="23"/>
      <c r="B28" s="7" t="s">
        <v>23</v>
      </c>
      <c r="C28" s="41">
        <v>35</v>
      </c>
      <c r="D28" s="42" t="s">
        <v>42</v>
      </c>
      <c r="E28" s="83">
        <v>200</v>
      </c>
      <c r="F28" s="55">
        <v>7.43</v>
      </c>
      <c r="G28" s="8">
        <v>97</v>
      </c>
      <c r="H28" s="8">
        <v>0.68</v>
      </c>
      <c r="I28" s="8">
        <v>0.28000000000000003</v>
      </c>
      <c r="J28" s="9">
        <v>19.64</v>
      </c>
    </row>
    <row r="29" spans="1:10" ht="15.6" x14ac:dyDescent="0.3">
      <c r="A29" s="23"/>
      <c r="B29" s="7" t="s">
        <v>17</v>
      </c>
      <c r="C29" s="41" t="s">
        <v>20</v>
      </c>
      <c r="D29" s="38" t="s">
        <v>21</v>
      </c>
      <c r="E29" s="83">
        <v>30</v>
      </c>
      <c r="F29" s="55">
        <f>69.05*0.03</f>
        <v>2.0714999999999999</v>
      </c>
      <c r="G29" s="8">
        <f>42*30/20</f>
        <v>63</v>
      </c>
      <c r="H29" s="8">
        <f>0.98*30/20</f>
        <v>1.47</v>
      </c>
      <c r="I29" s="8">
        <f>0.2*30/20</f>
        <v>0.3</v>
      </c>
      <c r="J29" s="9">
        <f>8.96*30/20</f>
        <v>13.440000000000001</v>
      </c>
    </row>
    <row r="30" spans="1:10" ht="15.6" x14ac:dyDescent="0.3">
      <c r="A30" s="23"/>
      <c r="B30" s="11" t="s">
        <v>16</v>
      </c>
      <c r="C30" s="43" t="s">
        <v>20</v>
      </c>
      <c r="D30" s="38" t="s">
        <v>24</v>
      </c>
      <c r="E30" s="83">
        <v>31</v>
      </c>
      <c r="F30" s="55">
        <v>2.87</v>
      </c>
      <c r="G30" s="8">
        <f>47*31/20</f>
        <v>72.849999999999994</v>
      </c>
      <c r="H30" s="8">
        <f>1.52*31/20</f>
        <v>2.3559999999999999</v>
      </c>
      <c r="I30" s="8">
        <f>0.16*31/20</f>
        <v>0.248</v>
      </c>
      <c r="J30" s="9">
        <f>9.84*31/20</f>
        <v>15.252000000000001</v>
      </c>
    </row>
    <row r="31" spans="1:10" ht="16.2" thickBot="1" x14ac:dyDescent="0.35">
      <c r="A31" s="25"/>
      <c r="B31" s="26"/>
      <c r="C31" s="27"/>
      <c r="D31" s="27"/>
      <c r="E31" s="54"/>
      <c r="F31" s="65">
        <f>SUM(F24:F30)</f>
        <v>134.99916666666667</v>
      </c>
      <c r="G31" s="28">
        <f>SUM(G24:G30)</f>
        <v>819.56250000000011</v>
      </c>
      <c r="H31" s="28">
        <f>SUM(H25:H30)</f>
        <v>21.13238888888889</v>
      </c>
      <c r="I31" s="28">
        <f>SUM(I25:I30)</f>
        <v>21.470500000000005</v>
      </c>
      <c r="J31" s="29">
        <f>SUM(J25:J30)</f>
        <v>82.779777777777781</v>
      </c>
    </row>
    <row r="32" spans="1:10" customFormat="1" ht="22.2" customHeight="1" x14ac:dyDescent="0.3">
      <c r="A32" s="16" t="s">
        <v>27</v>
      </c>
      <c r="E32" s="14"/>
      <c r="F32" s="14"/>
    </row>
    <row r="33" spans="1:6" customFormat="1" ht="22.2" customHeight="1" x14ac:dyDescent="0.3">
      <c r="A33" s="16" t="s">
        <v>26</v>
      </c>
      <c r="E33" s="14"/>
      <c r="F33" s="14"/>
    </row>
    <row r="34" spans="1:6" customFormat="1" x14ac:dyDescent="0.3">
      <c r="E34" s="14"/>
      <c r="F34" s="14"/>
    </row>
    <row r="36" spans="1:6" customFormat="1" x14ac:dyDescent="0.3">
      <c r="E36" s="14"/>
      <c r="F36" s="14"/>
    </row>
  </sheetData>
  <mergeCells count="1">
    <mergeCell ref="B1:D1"/>
  </mergeCells>
  <pageMargins left="0.31496062992125984" right="0.31496062992125984" top="0.31496062992125984" bottom="0.31496062992125984" header="0" footer="0"/>
  <pageSetup paperSize="9" scale="87" fitToHeight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бесплатно</vt:lpstr>
      <vt:lpstr>платно</vt:lpstr>
      <vt:lpstr>бесплатно!Область_печати</vt:lpstr>
      <vt:lpstr>платно!Область_печати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Krapivina Mariya</cp:lastModifiedBy>
  <cp:lastPrinted>2025-02-13T06:47:33Z</cp:lastPrinted>
  <dcterms:created xsi:type="dcterms:W3CDTF">2015-06-05T18:19:34Z</dcterms:created>
  <dcterms:modified xsi:type="dcterms:W3CDTF">2025-04-30T06:11:40Z</dcterms:modified>
</cp:coreProperties>
</file>