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uffy\Downloads\"/>
    </mc:Choice>
  </mc:AlternateContent>
  <xr:revisionPtr revIDLastSave="0" documentId="8_{78157588-300F-4B2B-879C-E0E3991246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бесплатно" sheetId="1" r:id="rId1"/>
    <sheet name="платно" sheetId="2" r:id="rId2"/>
  </sheets>
  <definedNames>
    <definedName name="_xlnm.Print_Area" localSheetId="0">бесплатно!$A$1:$J$50</definedName>
  </definedNames>
  <calcPr calcId="181029"/>
</workbook>
</file>

<file path=xl/calcChain.xml><?xml version="1.0" encoding="utf-8"?>
<calcChain xmlns="http://schemas.openxmlformats.org/spreadsheetml/2006/main">
  <c r="J32" i="2" l="1"/>
  <c r="I32" i="2"/>
  <c r="H32" i="2"/>
  <c r="G32" i="2"/>
  <c r="F33" i="2"/>
  <c r="F32" i="2"/>
  <c r="F26" i="2"/>
  <c r="F23" i="2"/>
  <c r="J16" i="2"/>
  <c r="I16" i="2"/>
  <c r="H16" i="2"/>
  <c r="G16" i="2"/>
  <c r="J10" i="2"/>
  <c r="I10" i="2"/>
  <c r="H10" i="2"/>
  <c r="G10" i="2"/>
  <c r="J9" i="2"/>
  <c r="I9" i="2"/>
  <c r="H9" i="2"/>
  <c r="G9" i="2"/>
  <c r="F10" i="2"/>
  <c r="F4" i="2"/>
  <c r="J46" i="1"/>
  <c r="J45" i="1"/>
  <c r="I46" i="1"/>
  <c r="I45" i="1"/>
  <c r="H46" i="1"/>
  <c r="H45" i="1"/>
  <c r="G46" i="1"/>
  <c r="G45" i="1"/>
  <c r="F46" i="1"/>
  <c r="J42" i="1"/>
  <c r="I42" i="1"/>
  <c r="H42" i="1"/>
  <c r="G42" i="1"/>
  <c r="F42" i="1"/>
  <c r="F40" i="1"/>
  <c r="F39" i="1"/>
  <c r="J33" i="1"/>
  <c r="I33" i="1"/>
  <c r="H33" i="1"/>
  <c r="G33" i="1"/>
  <c r="J32" i="1"/>
  <c r="I32" i="1"/>
  <c r="H32" i="1"/>
  <c r="G32" i="1"/>
  <c r="F33" i="1"/>
  <c r="F27" i="1"/>
  <c r="J23" i="1"/>
  <c r="I23" i="1"/>
  <c r="H23" i="1"/>
  <c r="G23" i="1"/>
  <c r="J22" i="1"/>
  <c r="I22" i="1"/>
  <c r="H22" i="1"/>
  <c r="G22" i="1"/>
  <c r="J19" i="1"/>
  <c r="I19" i="1"/>
  <c r="H19" i="1"/>
  <c r="G19" i="1"/>
  <c r="F23" i="1"/>
  <c r="F19" i="1"/>
  <c r="F17" i="1"/>
  <c r="F16" i="1"/>
  <c r="J10" i="1"/>
  <c r="I10" i="1"/>
  <c r="H10" i="1"/>
  <c r="G10" i="1"/>
  <c r="J9" i="1"/>
  <c r="I9" i="1"/>
  <c r="H9" i="1"/>
  <c r="G9" i="1"/>
  <c r="F10" i="1"/>
  <c r="F4" i="1"/>
  <c r="F31" i="2" l="1"/>
  <c r="J24" i="2"/>
  <c r="J23" i="2"/>
  <c r="I24" i="2"/>
  <c r="I23" i="2"/>
  <c r="H24" i="2"/>
  <c r="H23" i="2"/>
  <c r="G24" i="2"/>
  <c r="G23" i="2"/>
  <c r="F18" i="2"/>
  <c r="F22" i="2"/>
  <c r="I7" i="2"/>
  <c r="H7" i="2"/>
  <c r="G7" i="2"/>
  <c r="F7" i="2"/>
  <c r="J36" i="1"/>
  <c r="I36" i="1"/>
  <c r="H36" i="1"/>
  <c r="G36" i="1"/>
  <c r="I30" i="1"/>
  <c r="H30" i="1"/>
  <c r="G30" i="1"/>
  <c r="F30" i="1"/>
  <c r="J13" i="1"/>
  <c r="I13" i="1"/>
  <c r="H13" i="1"/>
  <c r="G13" i="1"/>
  <c r="F14" i="1"/>
  <c r="I7" i="1"/>
  <c r="H7" i="1"/>
  <c r="G7" i="1"/>
  <c r="F7" i="1"/>
  <c r="J27" i="2" l="1"/>
  <c r="I27" i="2"/>
  <c r="H27" i="2"/>
  <c r="G27" i="2"/>
  <c r="J33" i="2"/>
  <c r="I33" i="2"/>
  <c r="H33" i="2"/>
  <c r="G33" i="2"/>
  <c r="F27" i="2"/>
  <c r="G31" i="2"/>
  <c r="J29" i="2"/>
  <c r="I29" i="2"/>
  <c r="H29" i="2"/>
  <c r="G29" i="2"/>
  <c r="F29" i="2"/>
  <c r="F20" i="2"/>
  <c r="F14" i="2"/>
  <c r="J12" i="2"/>
  <c r="I12" i="2"/>
  <c r="H12" i="2"/>
  <c r="G12" i="2"/>
  <c r="F12" i="2"/>
  <c r="F43" i="1"/>
  <c r="F20" i="1"/>
  <c r="J18" i="2" l="1"/>
  <c r="I18" i="2"/>
  <c r="H18" i="2"/>
  <c r="G18" i="2"/>
  <c r="J14" i="2" l="1"/>
  <c r="I14" i="2"/>
  <c r="H14" i="2"/>
  <c r="G14" i="2"/>
  <c r="J37" i="1" l="1"/>
  <c r="I37" i="1"/>
  <c r="H37" i="1"/>
  <c r="G37" i="1"/>
  <c r="J20" i="1"/>
  <c r="I20" i="1"/>
  <c r="H20" i="1"/>
  <c r="G20" i="1"/>
  <c r="J14" i="1"/>
  <c r="I14" i="1"/>
  <c r="H14" i="1"/>
  <c r="G14" i="1"/>
  <c r="J4" i="2" l="1"/>
  <c r="I4" i="2"/>
  <c r="H4" i="2"/>
  <c r="G4" i="2"/>
  <c r="J27" i="1"/>
  <c r="I27" i="1"/>
  <c r="H27" i="1"/>
  <c r="G27" i="1"/>
  <c r="J4" i="1"/>
  <c r="I4" i="1"/>
  <c r="H4" i="1"/>
  <c r="G4" i="1"/>
  <c r="F17" i="2" l="1"/>
  <c r="G17" i="2"/>
  <c r="J17" i="2"/>
  <c r="I17" i="2"/>
  <c r="H17" i="2"/>
  <c r="J16" i="1" l="1"/>
  <c r="I16" i="1"/>
  <c r="H16" i="1"/>
  <c r="G16" i="1"/>
  <c r="G22" i="2" l="1"/>
  <c r="F11" i="1"/>
  <c r="F47" i="1"/>
  <c r="F24" i="1"/>
  <c r="J29" i="1" l="1"/>
  <c r="I29" i="1"/>
  <c r="H29" i="1"/>
  <c r="G29" i="1"/>
  <c r="J20" i="2" l="1"/>
  <c r="I20" i="2"/>
  <c r="H20" i="2"/>
  <c r="G20" i="2"/>
  <c r="F11" i="2"/>
  <c r="J6" i="2"/>
  <c r="I6" i="2"/>
  <c r="H6" i="2"/>
  <c r="G6" i="2"/>
  <c r="J5" i="2"/>
  <c r="I5" i="2"/>
  <c r="H5" i="2"/>
  <c r="G5" i="2"/>
  <c r="J43" i="1"/>
  <c r="I43" i="1"/>
  <c r="H43" i="1"/>
  <c r="G43" i="1"/>
  <c r="F38" i="1"/>
  <c r="J28" i="1"/>
  <c r="I28" i="1"/>
  <c r="H28" i="1"/>
  <c r="H34" i="1" s="1"/>
  <c r="G28" i="1"/>
  <c r="J5" i="1"/>
  <c r="I5" i="1"/>
  <c r="H5" i="1"/>
  <c r="G5" i="1"/>
  <c r="J6" i="1"/>
  <c r="I6" i="1"/>
  <c r="H6" i="1"/>
  <c r="G6" i="1"/>
  <c r="F34" i="2" l="1"/>
  <c r="F15" i="1"/>
  <c r="J39" i="1" l="1"/>
  <c r="I39" i="1"/>
  <c r="H39" i="1"/>
  <c r="G39" i="1"/>
  <c r="F34" i="1" l="1"/>
  <c r="G34" i="2"/>
  <c r="J34" i="2"/>
  <c r="I34" i="2"/>
  <c r="J25" i="2"/>
  <c r="G25" i="2"/>
  <c r="H34" i="2"/>
  <c r="F25" i="2"/>
  <c r="G47" i="1" l="1"/>
  <c r="G24" i="1"/>
  <c r="G11" i="2" l="1"/>
  <c r="G11" i="1"/>
  <c r="I24" i="1" l="1"/>
  <c r="H24" i="1"/>
  <c r="H25" i="2" l="1"/>
  <c r="H11" i="1"/>
  <c r="G38" i="1" l="1"/>
  <c r="G34" i="1"/>
  <c r="I25" i="2"/>
  <c r="J47" i="1" l="1"/>
  <c r="J38" i="1"/>
  <c r="I38" i="1"/>
  <c r="H38" i="1"/>
  <c r="I34" i="1" l="1"/>
  <c r="J34" i="1"/>
  <c r="J11" i="2"/>
  <c r="I11" i="2"/>
  <c r="H11" i="2"/>
  <c r="H47" i="1"/>
  <c r="I47" i="1"/>
  <c r="G15" i="1" l="1"/>
  <c r="J11" i="1"/>
  <c r="I11" i="1" l="1"/>
  <c r="J24" i="1"/>
  <c r="J15" i="1"/>
  <c r="I15" i="1"/>
  <c r="H15" i="1"/>
</calcChain>
</file>

<file path=xl/sharedStrings.xml><?xml version="1.0" encoding="utf-8"?>
<sst xmlns="http://schemas.openxmlformats.org/spreadsheetml/2006/main" count="228" uniqueCount="65">
  <si>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</si>
  <si>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</si>
  <si>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</si>
  <si>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</si>
  <si>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</si>
  <si>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</si>
  <si>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</si>
  <si>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</si>
  <si>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</si>
  <si>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</si>
  <si>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</si>
  <si>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</si>
  <si>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</si>
  <si>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</si>
  <si>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</si>
  <si>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</si>
  <si>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</si>
  <si>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</si>
  <si>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</si>
  <si>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</si>
  <si>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Полдник</t>
  </si>
  <si>
    <t>напиток</t>
  </si>
  <si>
    <t>корп</t>
  </si>
  <si>
    <t>Бухгалтер калькулятор _______________________________</t>
  </si>
  <si>
    <t>За наличный расчет</t>
  </si>
  <si>
    <t>добавки</t>
  </si>
  <si>
    <t xml:space="preserve"> </t>
  </si>
  <si>
    <t>Зав.производством __________________________________</t>
  </si>
  <si>
    <t>гарнир</t>
  </si>
  <si>
    <t>200</t>
  </si>
  <si>
    <t>Яйцо вареное</t>
  </si>
  <si>
    <t>гп</t>
  </si>
  <si>
    <t>Хлеб пшеничный</t>
  </si>
  <si>
    <t>Чай с сахаром</t>
  </si>
  <si>
    <t>Яблоко</t>
  </si>
  <si>
    <t>Лепешка с сыром</t>
  </si>
  <si>
    <t>90</t>
  </si>
  <si>
    <t>Соус сметанный</t>
  </si>
  <si>
    <t>Макаронные изделия отварные с маслом</t>
  </si>
  <si>
    <t>150</t>
  </si>
  <si>
    <t>Напиток из шиповника</t>
  </si>
  <si>
    <t>250</t>
  </si>
  <si>
    <t>100</t>
  </si>
  <si>
    <t>Котлета мясная</t>
  </si>
  <si>
    <t>Хлеб ржаной</t>
  </si>
  <si>
    <t>Икра морковная</t>
  </si>
  <si>
    <t>день 8</t>
  </si>
  <si>
    <t>Масло сливочное (порциями)</t>
  </si>
  <si>
    <t>Сыр (порциями)</t>
  </si>
  <si>
    <t>Кофейный напиток с молоком</t>
  </si>
  <si>
    <t>Батон</t>
  </si>
  <si>
    <t>Рассольник ленинградский со сметаной, с мясом птицы</t>
  </si>
  <si>
    <t>6-11 лет</t>
  </si>
  <si>
    <t>12-18 лет</t>
  </si>
  <si>
    <t>25</t>
  </si>
  <si>
    <t>235/5/10</t>
  </si>
  <si>
    <t>добавка</t>
  </si>
  <si>
    <t>Мармелад</t>
  </si>
  <si>
    <t>26</t>
  </si>
  <si>
    <t>60</t>
  </si>
  <si>
    <t xml:space="preserve">Суп молочный с крупой </t>
  </si>
  <si>
    <t>245/5</t>
  </si>
  <si>
    <t>Рассольник ленинградский со сметаной</t>
  </si>
  <si>
    <t>160</t>
  </si>
  <si>
    <t>МБОУ Элитовская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</si>
</sst>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2" fontId="3" fillId="0" borderId="17" xfId="0" applyNumberFormat="1" applyFont="1" applyBorder="1"/>
    <xf numFmtId="2" fontId="3" fillId="0" borderId="18" xfId="0" applyNumberFormat="1" applyFont="1" applyBorder="1"/>
    <xf numFmtId="2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6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0" xfId="0" applyBorder="1"/>
    <xf numFmtId="0" fontId="2" fillId="0" borderId="17" xfId="0" applyFont="1" applyBorder="1" applyAlignment="1" applyProtection="1">
      <alignment horizontal="center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0" fontId="8" fillId="0" borderId="17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4" fontId="3" fillId="0" borderId="0" xfId="0" applyNumberFormat="1" applyFont="1"/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25" xfId="0" applyBorder="1"/>
    <xf numFmtId="0" fontId="0" fillId="0" borderId="14" xfId="0" applyBorder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50"/>
  <sheetViews>
    <sheetView zoomScaleNormal="100" workbookViewId="0">
      <selection activeCell="I1" sqref="I1"/>
    </sheetView>
  </sheetViews>
  <sheetFormatPr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8.7109375" customWidth="1"/>
    <col min="5" max="5" width="10.28515625" style="14" customWidth="1"/>
    <col min="6" max="6" width="8.28515625" style="14" bestFit="1" customWidth="1"/>
    <col min="7" max="7" width="7.7109375" customWidth="1"/>
    <col min="8" max="8" width="6.5703125" bestFit="1" customWidth="1"/>
    <col min="9" max="9" width="10.28515625" customWidth="1"/>
    <col min="10" max="10" width="10.140625" customWidth="1"/>
  </cols>
  <sheetData>
    <row r="1" spans="1:10" ht="28.9" customHeight="1" x14ac:dyDescent="0.25">
      <c r="A1" t="s">
        <v>0</v>
      </c>
      <c r="B1" s="101" t="s">
        <v>64</v>
      </c>
      <c r="C1" s="102"/>
      <c r="D1" s="103"/>
      <c r="E1" s="14" t="s">
        <v>22</v>
      </c>
      <c r="F1" s="13"/>
      <c r="H1" s="21" t="s">
        <v>46</v>
      </c>
      <c r="I1" s="24">
        <v>45783</v>
      </c>
      <c r="J1" s="89"/>
    </row>
    <row r="2" spans="1:10" ht="15.75" thickBot="1" x14ac:dyDescent="0.3">
      <c r="B2" s="1" t="s">
        <v>52</v>
      </c>
    </row>
    <row r="3" spans="1:10" s="19" customFormat="1" ht="30.75" thickBot="1" x14ac:dyDescent="0.3">
      <c r="A3" s="15" t="s">
        <v>1</v>
      </c>
      <c r="B3" s="16" t="s">
        <v>2</v>
      </c>
      <c r="C3" s="16" t="s">
        <v>18</v>
      </c>
      <c r="D3" s="16" t="s">
        <v>3</v>
      </c>
      <c r="E3" s="41" t="s">
        <v>19</v>
      </c>
      <c r="F3" s="41" t="s">
        <v>4</v>
      </c>
      <c r="G3" s="17" t="s">
        <v>5</v>
      </c>
      <c r="H3" s="16" t="s">
        <v>6</v>
      </c>
      <c r="I3" s="16" t="s">
        <v>7</v>
      </c>
      <c r="J3" s="18" t="s">
        <v>8</v>
      </c>
    </row>
    <row r="4" spans="1:10" ht="15.75" x14ac:dyDescent="0.25">
      <c r="A4" s="2" t="s">
        <v>9</v>
      </c>
      <c r="B4" s="3" t="s">
        <v>10</v>
      </c>
      <c r="C4" s="94">
        <v>47</v>
      </c>
      <c r="D4" s="95" t="s">
        <v>60</v>
      </c>
      <c r="E4" s="96" t="s">
        <v>41</v>
      </c>
      <c r="F4" s="97">
        <f>11.8/200*250</f>
        <v>14.750000000000002</v>
      </c>
      <c r="G4" s="87">
        <f>136*250/200</f>
        <v>170</v>
      </c>
      <c r="H4" s="87">
        <f>4.13*250/200</f>
        <v>5.1624999999999996</v>
      </c>
      <c r="I4" s="87">
        <f>4.49*250/200</f>
        <v>5.6124999999999998</v>
      </c>
      <c r="J4" s="88">
        <f>19.7*250/200</f>
        <v>24.625</v>
      </c>
    </row>
    <row r="5" spans="1:10" ht="15.75" x14ac:dyDescent="0.25">
      <c r="A5" s="6"/>
      <c r="B5" s="29" t="s">
        <v>25</v>
      </c>
      <c r="C5" s="52">
        <v>38</v>
      </c>
      <c r="D5" s="53" t="s">
        <v>30</v>
      </c>
      <c r="E5" s="43">
        <v>50</v>
      </c>
      <c r="F5" s="66">
        <v>7.68</v>
      </c>
      <c r="G5" s="8">
        <f>63/40*50</f>
        <v>78.75</v>
      </c>
      <c r="H5" s="8">
        <f>5.08/40*50</f>
        <v>6.35</v>
      </c>
      <c r="I5" s="8">
        <f>4.6/40*50</f>
        <v>5.75</v>
      </c>
      <c r="J5" s="9">
        <f>0.28/40*50</f>
        <v>0.35000000000000003</v>
      </c>
    </row>
    <row r="6" spans="1:10" ht="30" x14ac:dyDescent="0.25">
      <c r="A6" s="6"/>
      <c r="B6" s="29" t="s">
        <v>25</v>
      </c>
      <c r="C6" s="48">
        <v>3</v>
      </c>
      <c r="D6" s="49" t="s">
        <v>47</v>
      </c>
      <c r="E6" s="43">
        <v>10</v>
      </c>
      <c r="F6" s="66">
        <v>12.59</v>
      </c>
      <c r="G6" s="8">
        <f>65*10/10</f>
        <v>65</v>
      </c>
      <c r="H6" s="8">
        <f>0.08*10/10</f>
        <v>0.08</v>
      </c>
      <c r="I6" s="8">
        <f>7.15*10/10</f>
        <v>7.15</v>
      </c>
      <c r="J6" s="9">
        <f>0.13*10/10</f>
        <v>0.13</v>
      </c>
    </row>
    <row r="7" spans="1:10" ht="15.75" x14ac:dyDescent="0.25">
      <c r="A7" s="6"/>
      <c r="B7" s="99" t="s">
        <v>25</v>
      </c>
      <c r="C7" s="48">
        <v>6</v>
      </c>
      <c r="D7" s="49" t="s">
        <v>48</v>
      </c>
      <c r="E7" s="43">
        <v>16</v>
      </c>
      <c r="F7" s="66">
        <f>8.44*16/10</f>
        <v>13.504</v>
      </c>
      <c r="G7" s="8">
        <f>35*16/10</f>
        <v>56</v>
      </c>
      <c r="H7" s="8">
        <f>2.63*16/10</f>
        <v>4.2080000000000002</v>
      </c>
      <c r="I7" s="8">
        <f>2.66*16/10</f>
        <v>4.2560000000000002</v>
      </c>
      <c r="J7" s="9">
        <v>0</v>
      </c>
    </row>
    <row r="8" spans="1:10" ht="30" x14ac:dyDescent="0.25">
      <c r="A8" s="6"/>
      <c r="B8" s="82" t="s">
        <v>11</v>
      </c>
      <c r="C8" s="74">
        <v>2</v>
      </c>
      <c r="D8" s="49" t="s">
        <v>49</v>
      </c>
      <c r="E8" s="43">
        <v>200</v>
      </c>
      <c r="F8" s="66">
        <v>12.36</v>
      </c>
      <c r="G8" s="8">
        <v>104</v>
      </c>
      <c r="H8" s="8">
        <v>3.8</v>
      </c>
      <c r="I8" s="8">
        <v>3.7</v>
      </c>
      <c r="J8" s="9">
        <v>15.18</v>
      </c>
    </row>
    <row r="9" spans="1:10" ht="15.75" x14ac:dyDescent="0.25">
      <c r="A9" s="6"/>
      <c r="B9" s="99" t="s">
        <v>16</v>
      </c>
      <c r="C9" s="48" t="s">
        <v>31</v>
      </c>
      <c r="D9" s="49" t="s">
        <v>44</v>
      </c>
      <c r="E9" s="43">
        <v>23</v>
      </c>
      <c r="F9" s="66">
        <v>1.3</v>
      </c>
      <c r="G9" s="8">
        <f>42*23/20</f>
        <v>48.3</v>
      </c>
      <c r="H9" s="8">
        <f>0.98*23/20</f>
        <v>1.127</v>
      </c>
      <c r="I9" s="8">
        <f>0.2*23/20</f>
        <v>0.23000000000000004</v>
      </c>
      <c r="J9" s="9">
        <f>8.96*23/20</f>
        <v>10.304</v>
      </c>
    </row>
    <row r="10" spans="1:10" ht="15.75" x14ac:dyDescent="0.25">
      <c r="A10" s="6"/>
      <c r="B10" s="100" t="s">
        <v>17</v>
      </c>
      <c r="C10" s="48" t="s">
        <v>31</v>
      </c>
      <c r="D10" s="49" t="s">
        <v>50</v>
      </c>
      <c r="E10" s="43">
        <v>23</v>
      </c>
      <c r="F10" s="66">
        <f>101.5*0.023</f>
        <v>2.3344999999999998</v>
      </c>
      <c r="G10" s="8">
        <f>47*23/20</f>
        <v>54.05</v>
      </c>
      <c r="H10" s="8">
        <f>1.52*23/20</f>
        <v>1.748</v>
      </c>
      <c r="I10" s="8">
        <f>0.16*23/20</f>
        <v>0.184</v>
      </c>
      <c r="J10" s="9">
        <f>9.84*23/20</f>
        <v>11.315999999999999</v>
      </c>
    </row>
    <row r="11" spans="1:10" ht="16.5" thickBot="1" x14ac:dyDescent="0.3">
      <c r="A11" s="59"/>
      <c r="B11" s="37"/>
      <c r="C11" s="61"/>
      <c r="D11" s="62"/>
      <c r="E11" s="63"/>
      <c r="F11" s="70">
        <f>SUM(F4:F10)</f>
        <v>64.518499999999989</v>
      </c>
      <c r="G11" s="64">
        <f>SUM(G4:G10)</f>
        <v>576.09999999999991</v>
      </c>
      <c r="H11" s="64">
        <f>SUM(H4:H10)</f>
        <v>22.4755</v>
      </c>
      <c r="I11" s="64">
        <f>SUM(I4:I10)</f>
        <v>26.882500000000004</v>
      </c>
      <c r="J11" s="86">
        <f>SUM(J4:J10)</f>
        <v>61.905000000000001</v>
      </c>
    </row>
    <row r="12" spans="1:10" ht="14.45" customHeight="1" x14ac:dyDescent="0.25">
      <c r="A12" s="2" t="s">
        <v>20</v>
      </c>
      <c r="B12" s="82" t="s">
        <v>11</v>
      </c>
      <c r="C12" s="50">
        <v>57</v>
      </c>
      <c r="D12" s="51" t="s">
        <v>33</v>
      </c>
      <c r="E12" s="44">
        <v>200</v>
      </c>
      <c r="F12" s="69">
        <v>1.1200000000000001</v>
      </c>
      <c r="G12" s="4">
        <v>41</v>
      </c>
      <c r="H12" s="4">
        <v>0</v>
      </c>
      <c r="I12" s="4">
        <v>0</v>
      </c>
      <c r="J12" s="5">
        <v>10.01</v>
      </c>
    </row>
    <row r="13" spans="1:10" ht="14.45" customHeight="1" x14ac:dyDescent="0.25">
      <c r="A13" s="6"/>
      <c r="B13" s="29" t="s">
        <v>25</v>
      </c>
      <c r="C13" s="83" t="s">
        <v>31</v>
      </c>
      <c r="D13" s="84" t="s">
        <v>34</v>
      </c>
      <c r="E13" s="85">
        <v>147</v>
      </c>
      <c r="F13" s="75">
        <v>24.55</v>
      </c>
      <c r="G13" s="12">
        <f>96/100*147</f>
        <v>141.12</v>
      </c>
      <c r="H13" s="12">
        <f>1.5/100*147</f>
        <v>2.2050000000000001</v>
      </c>
      <c r="I13" s="12">
        <f>0.5/100*147</f>
        <v>0.73499999999999999</v>
      </c>
      <c r="J13" s="35">
        <f>21/100*147</f>
        <v>30.869999999999997</v>
      </c>
    </row>
    <row r="14" spans="1:10" ht="15.75" x14ac:dyDescent="0.25">
      <c r="A14" s="6"/>
      <c r="B14" s="29" t="s">
        <v>25</v>
      </c>
      <c r="C14" s="83">
        <v>62</v>
      </c>
      <c r="D14" s="84" t="s">
        <v>35</v>
      </c>
      <c r="E14" s="85">
        <v>80</v>
      </c>
      <c r="F14" s="75">
        <f>14.2*80/50</f>
        <v>22.72</v>
      </c>
      <c r="G14" s="12">
        <f>171*80/50</f>
        <v>273.60000000000002</v>
      </c>
      <c r="H14" s="12">
        <f>5.02*80/50</f>
        <v>8.032</v>
      </c>
      <c r="I14" s="12">
        <f>5.41*80/50</f>
        <v>8.6560000000000006</v>
      </c>
      <c r="J14" s="35">
        <f>23*80/50</f>
        <v>36.799999999999997</v>
      </c>
    </row>
    <row r="15" spans="1:10" ht="16.5" thickBot="1" x14ac:dyDescent="0.3">
      <c r="A15" s="91"/>
      <c r="B15" s="92"/>
      <c r="C15" s="54"/>
      <c r="D15" s="55"/>
      <c r="E15" s="90"/>
      <c r="F15" s="72">
        <f>SUM(F12:F14)</f>
        <v>48.39</v>
      </c>
      <c r="G15" s="10">
        <f>SUM(G12:G14)</f>
        <v>455.72</v>
      </c>
      <c r="H15" s="10">
        <f>SUM(H12:H14)</f>
        <v>10.237</v>
      </c>
      <c r="I15" s="10">
        <f>SUM(I12:I14)</f>
        <v>9.391</v>
      </c>
      <c r="J15" s="11">
        <f>SUM(J12:J14)</f>
        <v>77.679999999999993</v>
      </c>
    </row>
    <row r="16" spans="1:10" ht="15.75" x14ac:dyDescent="0.25">
      <c r="A16" s="2" t="s">
        <v>12</v>
      </c>
      <c r="B16" s="3" t="s">
        <v>13</v>
      </c>
      <c r="C16" s="50">
        <v>59</v>
      </c>
      <c r="D16" s="51" t="s">
        <v>45</v>
      </c>
      <c r="E16" s="42" t="s">
        <v>59</v>
      </c>
      <c r="F16" s="69">
        <f>8.58*60/60</f>
        <v>8.58</v>
      </c>
      <c r="G16" s="4">
        <f>69/60*60</f>
        <v>69</v>
      </c>
      <c r="H16" s="4">
        <f>1.71/60*60</f>
        <v>1.71</v>
      </c>
      <c r="I16" s="4">
        <f>5.05/60*60</f>
        <v>5.05</v>
      </c>
      <c r="J16" s="5">
        <f>5.12/60*60</f>
        <v>5.12</v>
      </c>
    </row>
    <row r="17" spans="1:10" ht="30" x14ac:dyDescent="0.25">
      <c r="A17" s="6"/>
      <c r="B17" s="7" t="s">
        <v>14</v>
      </c>
      <c r="C17" s="52">
        <v>28</v>
      </c>
      <c r="D17" s="53" t="s">
        <v>62</v>
      </c>
      <c r="E17" s="45" t="s">
        <v>61</v>
      </c>
      <c r="F17" s="66">
        <f>9.73*245/196+1.54*5/4+5.88*0</f>
        <v>14.0875</v>
      </c>
      <c r="G17" s="8">
        <v>106.4</v>
      </c>
      <c r="H17" s="8">
        <v>1.75</v>
      </c>
      <c r="I17" s="8">
        <v>5.03</v>
      </c>
      <c r="J17" s="9">
        <v>15.7</v>
      </c>
    </row>
    <row r="18" spans="1:10" ht="15.75" x14ac:dyDescent="0.25">
      <c r="A18" s="6"/>
      <c r="B18" s="7" t="s">
        <v>15</v>
      </c>
      <c r="C18" s="52">
        <v>67</v>
      </c>
      <c r="D18" s="53" t="s">
        <v>43</v>
      </c>
      <c r="E18" s="45" t="s">
        <v>36</v>
      </c>
      <c r="F18" s="66">
        <v>47.6</v>
      </c>
      <c r="G18" s="8">
        <v>207</v>
      </c>
      <c r="H18" s="8">
        <v>14.88</v>
      </c>
      <c r="I18" s="8">
        <v>10.43</v>
      </c>
      <c r="J18" s="9">
        <v>13.7</v>
      </c>
    </row>
    <row r="19" spans="1:10" ht="15.75" x14ac:dyDescent="0.25">
      <c r="A19" s="6"/>
      <c r="B19" s="29" t="s">
        <v>25</v>
      </c>
      <c r="C19" s="48">
        <v>42</v>
      </c>
      <c r="D19" s="93" t="s">
        <v>37</v>
      </c>
      <c r="E19" s="45" t="s">
        <v>54</v>
      </c>
      <c r="F19" s="66">
        <f>4.49*25/20</f>
        <v>5.6124999999999998</v>
      </c>
      <c r="G19" s="8">
        <f>29*25/20</f>
        <v>36.25</v>
      </c>
      <c r="H19" s="8">
        <f>0.28*25/20</f>
        <v>0.35000000000000003</v>
      </c>
      <c r="I19" s="8">
        <f>2.73*25/20</f>
        <v>3.4125000000000001</v>
      </c>
      <c r="J19" s="9">
        <f>0.95*25/20</f>
        <v>1.1875</v>
      </c>
    </row>
    <row r="20" spans="1:10" ht="30" x14ac:dyDescent="0.25">
      <c r="A20" s="6"/>
      <c r="B20" s="7" t="s">
        <v>28</v>
      </c>
      <c r="C20" s="52">
        <v>11</v>
      </c>
      <c r="D20" s="53" t="s">
        <v>38</v>
      </c>
      <c r="E20" s="45" t="s">
        <v>39</v>
      </c>
      <c r="F20" s="66">
        <f>11.22/150*150</f>
        <v>11.22</v>
      </c>
      <c r="G20" s="8">
        <f>223/150*150</f>
        <v>223</v>
      </c>
      <c r="H20" s="8">
        <f>6.63/150*150</f>
        <v>6.629999999999999</v>
      </c>
      <c r="I20" s="8">
        <f>5.67/150*150</f>
        <v>5.67</v>
      </c>
      <c r="J20" s="9">
        <f>38.78/150*150</f>
        <v>38.78</v>
      </c>
    </row>
    <row r="21" spans="1:10" ht="15.75" x14ac:dyDescent="0.25">
      <c r="A21" s="6"/>
      <c r="B21" s="7" t="s">
        <v>21</v>
      </c>
      <c r="C21" s="52">
        <v>35</v>
      </c>
      <c r="D21" s="53" t="s">
        <v>40</v>
      </c>
      <c r="E21" s="45" t="s">
        <v>29</v>
      </c>
      <c r="F21" s="66">
        <v>5.62</v>
      </c>
      <c r="G21" s="8">
        <v>97</v>
      </c>
      <c r="H21" s="8">
        <v>0.68</v>
      </c>
      <c r="I21" s="8">
        <v>0.28000000000000003</v>
      </c>
      <c r="J21" s="9">
        <v>19.64</v>
      </c>
    </row>
    <row r="22" spans="1:10" ht="15.75" x14ac:dyDescent="0.25">
      <c r="A22" s="6"/>
      <c r="B22" s="99" t="s">
        <v>16</v>
      </c>
      <c r="C22" s="52" t="s">
        <v>31</v>
      </c>
      <c r="D22" s="49" t="s">
        <v>44</v>
      </c>
      <c r="E22" s="43">
        <v>30</v>
      </c>
      <c r="F22" s="66">
        <v>1.71</v>
      </c>
      <c r="G22" s="8">
        <f>42*30/20</f>
        <v>63</v>
      </c>
      <c r="H22" s="8">
        <f>0.98*30/20</f>
        <v>1.47</v>
      </c>
      <c r="I22" s="8">
        <f>0.2*30/20</f>
        <v>0.3</v>
      </c>
      <c r="J22" s="9">
        <f>8.96*30/20</f>
        <v>13.440000000000001</v>
      </c>
    </row>
    <row r="23" spans="1:10" ht="15.75" x14ac:dyDescent="0.25">
      <c r="A23" s="6"/>
      <c r="B23" s="100" t="s">
        <v>17</v>
      </c>
      <c r="C23" s="52" t="s">
        <v>31</v>
      </c>
      <c r="D23" s="49" t="s">
        <v>32</v>
      </c>
      <c r="E23" s="43">
        <v>30</v>
      </c>
      <c r="F23" s="66">
        <f>78.6*0.03</f>
        <v>2.3579999999999997</v>
      </c>
      <c r="G23" s="8">
        <f>47*30/20</f>
        <v>70.5</v>
      </c>
      <c r="H23" s="8">
        <f>1.52*30/20</f>
        <v>2.2800000000000002</v>
      </c>
      <c r="I23" s="8">
        <f>0.16*30/20</f>
        <v>0.24</v>
      </c>
      <c r="J23" s="9">
        <f>9.84*30/20</f>
        <v>14.76</v>
      </c>
    </row>
    <row r="24" spans="1:10" ht="16.5" thickBot="1" x14ac:dyDescent="0.3">
      <c r="A24" s="36"/>
      <c r="B24" s="37"/>
      <c r="C24" s="38"/>
      <c r="D24" s="38"/>
      <c r="E24" s="47"/>
      <c r="F24" s="73">
        <f>SUM(F16:F23)</f>
        <v>96.787999999999997</v>
      </c>
      <c r="G24" s="39">
        <f>SUM(G16:G23)</f>
        <v>872.15</v>
      </c>
      <c r="H24" s="39">
        <f>SUM(H16:H23)</f>
        <v>29.75</v>
      </c>
      <c r="I24" s="39">
        <f>SUM(I16:I23)</f>
        <v>30.412500000000001</v>
      </c>
      <c r="J24" s="40">
        <f>SUM(J16:J23)</f>
        <v>122.3275</v>
      </c>
    </row>
    <row r="25" spans="1:10" ht="16.5" thickBot="1" x14ac:dyDescent="0.3">
      <c r="B25" s="1" t="s">
        <v>53</v>
      </c>
      <c r="E25" s="46"/>
      <c r="F25" s="46"/>
    </row>
    <row r="26" spans="1:10" ht="30.75" thickBot="1" x14ac:dyDescent="0.3">
      <c r="A26" s="15" t="s">
        <v>1</v>
      </c>
      <c r="B26" s="16" t="s">
        <v>2</v>
      </c>
      <c r="C26" s="16" t="s">
        <v>18</v>
      </c>
      <c r="D26" s="16" t="s">
        <v>3</v>
      </c>
      <c r="E26" s="41" t="s">
        <v>19</v>
      </c>
      <c r="F26" s="41" t="s">
        <v>4</v>
      </c>
      <c r="G26" s="17" t="s">
        <v>5</v>
      </c>
      <c r="H26" s="16" t="s">
        <v>6</v>
      </c>
      <c r="I26" s="16" t="s">
        <v>7</v>
      </c>
      <c r="J26" s="18" t="s">
        <v>8</v>
      </c>
    </row>
    <row r="27" spans="1:10" ht="15.75" x14ac:dyDescent="0.25">
      <c r="A27" s="2" t="s">
        <v>9</v>
      </c>
      <c r="B27" s="3" t="s">
        <v>10</v>
      </c>
      <c r="C27" s="94">
        <v>47</v>
      </c>
      <c r="D27" s="95" t="s">
        <v>60</v>
      </c>
      <c r="E27" s="96" t="s">
        <v>41</v>
      </c>
      <c r="F27" s="97">
        <f>11.8/200*250</f>
        <v>14.750000000000002</v>
      </c>
      <c r="G27" s="87">
        <f>136*250/200</f>
        <v>170</v>
      </c>
      <c r="H27" s="87">
        <f>4.13*250/200</f>
        <v>5.1624999999999996</v>
      </c>
      <c r="I27" s="87">
        <f>4.49*250/200</f>
        <v>5.6124999999999998</v>
      </c>
      <c r="J27" s="88">
        <f>19.7*250/200</f>
        <v>24.625</v>
      </c>
    </row>
    <row r="28" spans="1:10" ht="15.75" x14ac:dyDescent="0.25">
      <c r="A28" s="6"/>
      <c r="B28" s="29" t="s">
        <v>25</v>
      </c>
      <c r="C28" s="52">
        <v>38</v>
      </c>
      <c r="D28" s="53" t="s">
        <v>30</v>
      </c>
      <c r="E28" s="43">
        <v>50</v>
      </c>
      <c r="F28" s="66">
        <v>7.68</v>
      </c>
      <c r="G28" s="8">
        <f>63/40*50</f>
        <v>78.75</v>
      </c>
      <c r="H28" s="8">
        <f>5.08/40*50</f>
        <v>6.35</v>
      </c>
      <c r="I28" s="8">
        <f>4.6/40*50</f>
        <v>5.75</v>
      </c>
      <c r="J28" s="9">
        <f>0.28/40*50</f>
        <v>0.35000000000000003</v>
      </c>
    </row>
    <row r="29" spans="1:10" ht="30" x14ac:dyDescent="0.25">
      <c r="A29" s="6"/>
      <c r="B29" s="29" t="s">
        <v>25</v>
      </c>
      <c r="C29" s="48">
        <v>3</v>
      </c>
      <c r="D29" s="49" t="s">
        <v>47</v>
      </c>
      <c r="E29" s="43">
        <v>10</v>
      </c>
      <c r="F29" s="66">
        <v>12.59</v>
      </c>
      <c r="G29" s="8">
        <f>65*10/10</f>
        <v>65</v>
      </c>
      <c r="H29" s="8">
        <f>0.08*10/10</f>
        <v>0.08</v>
      </c>
      <c r="I29" s="8">
        <f>7.15*10/10</f>
        <v>7.15</v>
      </c>
      <c r="J29" s="9">
        <f>0.13*10/10</f>
        <v>0.13</v>
      </c>
    </row>
    <row r="30" spans="1:10" ht="15.75" x14ac:dyDescent="0.25">
      <c r="A30" s="6"/>
      <c r="B30" s="99" t="s">
        <v>25</v>
      </c>
      <c r="C30" s="48">
        <v>6</v>
      </c>
      <c r="D30" s="49" t="s">
        <v>48</v>
      </c>
      <c r="E30" s="43">
        <v>27</v>
      </c>
      <c r="F30" s="66">
        <f>9.98*27/12</f>
        <v>22.455000000000002</v>
      </c>
      <c r="G30" s="8">
        <f>42*27/12</f>
        <v>94.5</v>
      </c>
      <c r="H30" s="8">
        <f>3.16*27/12</f>
        <v>7.11</v>
      </c>
      <c r="I30" s="8">
        <f>3.19*27/12</f>
        <v>7.1774999999999993</v>
      </c>
      <c r="J30" s="9">
        <v>0</v>
      </c>
    </row>
    <row r="31" spans="1:10" ht="30" x14ac:dyDescent="0.25">
      <c r="A31" s="6"/>
      <c r="B31" s="82" t="s">
        <v>11</v>
      </c>
      <c r="C31" s="74">
        <v>2</v>
      </c>
      <c r="D31" s="49" t="s">
        <v>49</v>
      </c>
      <c r="E31" s="43">
        <v>200</v>
      </c>
      <c r="F31" s="66">
        <v>12.36</v>
      </c>
      <c r="G31" s="8">
        <v>104</v>
      </c>
      <c r="H31" s="8">
        <v>3.8</v>
      </c>
      <c r="I31" s="8">
        <v>3.7</v>
      </c>
      <c r="J31" s="9">
        <v>15.18</v>
      </c>
    </row>
    <row r="32" spans="1:10" ht="15.75" x14ac:dyDescent="0.25">
      <c r="A32" s="6"/>
      <c r="B32" s="99" t="s">
        <v>16</v>
      </c>
      <c r="C32" s="48" t="s">
        <v>31</v>
      </c>
      <c r="D32" s="49" t="s">
        <v>44</v>
      </c>
      <c r="E32" s="43">
        <v>33</v>
      </c>
      <c r="F32" s="66">
        <v>1.84</v>
      </c>
      <c r="G32" s="8">
        <f>42*33/20</f>
        <v>69.3</v>
      </c>
      <c r="H32" s="8">
        <f>0.98*33/20</f>
        <v>1.6169999999999998</v>
      </c>
      <c r="I32" s="8">
        <f>0.2*33/20</f>
        <v>0.33</v>
      </c>
      <c r="J32" s="9">
        <f>8.96*33/20</f>
        <v>14.784000000000001</v>
      </c>
    </row>
    <row r="33" spans="1:13" ht="15.75" x14ac:dyDescent="0.25">
      <c r="A33" s="6"/>
      <c r="B33" s="100" t="s">
        <v>17</v>
      </c>
      <c r="C33" s="48" t="s">
        <v>31</v>
      </c>
      <c r="D33" s="49" t="s">
        <v>50</v>
      </c>
      <c r="E33" s="43">
        <v>33</v>
      </c>
      <c r="F33" s="66">
        <f>101.5*0.033</f>
        <v>3.3495000000000004</v>
      </c>
      <c r="G33" s="8">
        <f>47*33/20</f>
        <v>77.55</v>
      </c>
      <c r="H33" s="8">
        <f>1.52*33/20</f>
        <v>2.508</v>
      </c>
      <c r="I33" s="8">
        <f>0.16*33/20</f>
        <v>0.26400000000000001</v>
      </c>
      <c r="J33" s="9">
        <f>9.84*33/20</f>
        <v>16.235999999999997</v>
      </c>
    </row>
    <row r="34" spans="1:13" ht="16.5" thickBot="1" x14ac:dyDescent="0.3">
      <c r="A34" s="59"/>
      <c r="B34" s="60"/>
      <c r="C34" s="61"/>
      <c r="D34" s="62"/>
      <c r="E34" s="63"/>
      <c r="F34" s="70">
        <f>SUM(F27:F33)</f>
        <v>75.024500000000003</v>
      </c>
      <c r="G34" s="64">
        <f>SUM(G27:G33)</f>
        <v>659.09999999999991</v>
      </c>
      <c r="H34" s="64">
        <f>SUM(H27:H33)</f>
        <v>26.627500000000001</v>
      </c>
      <c r="I34" s="64">
        <f>SUM(I27:I33)</f>
        <v>29.983999999999998</v>
      </c>
      <c r="J34" s="86">
        <f>SUM(J27:J33)</f>
        <v>71.304999999999993</v>
      </c>
    </row>
    <row r="35" spans="1:13" ht="14.45" customHeight="1" x14ac:dyDescent="0.25">
      <c r="A35" s="2" t="s">
        <v>20</v>
      </c>
      <c r="B35" s="82" t="s">
        <v>11</v>
      </c>
      <c r="C35" s="50">
        <v>57</v>
      </c>
      <c r="D35" s="51" t="s">
        <v>33</v>
      </c>
      <c r="E35" s="44">
        <v>200</v>
      </c>
      <c r="F35" s="69">
        <v>1.1200000000000001</v>
      </c>
      <c r="G35" s="4">
        <v>41</v>
      </c>
      <c r="H35" s="4">
        <v>0</v>
      </c>
      <c r="I35" s="4">
        <v>0</v>
      </c>
      <c r="J35" s="5">
        <v>10.01</v>
      </c>
    </row>
    <row r="36" spans="1:13" ht="15.75" x14ac:dyDescent="0.25">
      <c r="A36" s="6"/>
      <c r="B36" s="29" t="s">
        <v>25</v>
      </c>
      <c r="C36" s="83" t="s">
        <v>31</v>
      </c>
      <c r="D36" s="84" t="s">
        <v>34</v>
      </c>
      <c r="E36" s="85">
        <v>147</v>
      </c>
      <c r="F36" s="75">
        <v>24.55</v>
      </c>
      <c r="G36" s="12">
        <f>96/100*147</f>
        <v>141.12</v>
      </c>
      <c r="H36" s="12">
        <f>1.5/100*147</f>
        <v>2.2050000000000001</v>
      </c>
      <c r="I36" s="12">
        <f>0.5/100*147</f>
        <v>0.73499999999999999</v>
      </c>
      <c r="J36" s="35">
        <f>21/100*147</f>
        <v>30.869999999999997</v>
      </c>
    </row>
    <row r="37" spans="1:13" ht="15.75" x14ac:dyDescent="0.25">
      <c r="A37" s="6"/>
      <c r="B37" s="29" t="s">
        <v>25</v>
      </c>
      <c r="C37" s="83">
        <v>62</v>
      </c>
      <c r="D37" s="84" t="s">
        <v>35</v>
      </c>
      <c r="E37" s="85">
        <v>110</v>
      </c>
      <c r="F37" s="75">
        <v>30.59</v>
      </c>
      <c r="G37" s="12">
        <f>171*110/50</f>
        <v>376.2</v>
      </c>
      <c r="H37" s="12">
        <f>5.02*110/50</f>
        <v>11.043999999999999</v>
      </c>
      <c r="I37" s="12">
        <f>5.41*110/50</f>
        <v>11.902000000000001</v>
      </c>
      <c r="J37" s="35">
        <f>23*110/50</f>
        <v>50.6</v>
      </c>
    </row>
    <row r="38" spans="1:13" ht="16.5" thickBot="1" x14ac:dyDescent="0.3">
      <c r="A38" s="56"/>
      <c r="B38" s="37"/>
      <c r="C38" s="57"/>
      <c r="D38" s="55"/>
      <c r="E38" s="58"/>
      <c r="F38" s="71">
        <f>SUM(F35:F37)</f>
        <v>56.260000000000005</v>
      </c>
      <c r="G38" s="67">
        <f>SUM(G35:G36)</f>
        <v>182.12</v>
      </c>
      <c r="H38" s="67">
        <f>SUM(H35:H36)</f>
        <v>2.2050000000000001</v>
      </c>
      <c r="I38" s="67">
        <f>SUM(I35:I36)</f>
        <v>0.73499999999999999</v>
      </c>
      <c r="J38" s="68">
        <f>SUM(J35:J36)</f>
        <v>40.879999999999995</v>
      </c>
    </row>
    <row r="39" spans="1:13" ht="15.75" x14ac:dyDescent="0.25">
      <c r="A39" s="2" t="s">
        <v>12</v>
      </c>
      <c r="B39" s="3" t="s">
        <v>13</v>
      </c>
      <c r="C39" s="50">
        <v>59</v>
      </c>
      <c r="D39" s="51" t="s">
        <v>45</v>
      </c>
      <c r="E39" s="42" t="s">
        <v>42</v>
      </c>
      <c r="F39" s="69">
        <f>14.21*100/100</f>
        <v>14.21</v>
      </c>
      <c r="G39" s="4">
        <f>115*100/100</f>
        <v>115</v>
      </c>
      <c r="H39" s="4">
        <f>1.95*100/100</f>
        <v>1.95</v>
      </c>
      <c r="I39" s="4">
        <f>8.42*100/100</f>
        <v>8.42</v>
      </c>
      <c r="J39" s="5">
        <f>8.53*100/100</f>
        <v>8.5299999999999994</v>
      </c>
    </row>
    <row r="40" spans="1:13" ht="30" x14ac:dyDescent="0.25">
      <c r="A40" s="6"/>
      <c r="B40" s="7" t="s">
        <v>14</v>
      </c>
      <c r="C40" s="52">
        <v>28</v>
      </c>
      <c r="D40" s="53" t="s">
        <v>62</v>
      </c>
      <c r="E40" s="45" t="s">
        <v>61</v>
      </c>
      <c r="F40" s="66">
        <f>9.73*245/196+1.54*5/4+5.88*0</f>
        <v>14.0875</v>
      </c>
      <c r="G40" s="8">
        <v>106.4</v>
      </c>
      <c r="H40" s="8">
        <v>1.75</v>
      </c>
      <c r="I40" s="8">
        <v>5.03</v>
      </c>
      <c r="J40" s="9">
        <v>15.7</v>
      </c>
      <c r="M40" t="s">
        <v>26</v>
      </c>
    </row>
    <row r="41" spans="1:13" ht="15.75" x14ac:dyDescent="0.25">
      <c r="A41" s="6"/>
      <c r="B41" s="7" t="s">
        <v>15</v>
      </c>
      <c r="C41" s="52">
        <v>67</v>
      </c>
      <c r="D41" s="53" t="s">
        <v>43</v>
      </c>
      <c r="E41" s="45" t="s">
        <v>42</v>
      </c>
      <c r="F41" s="66">
        <v>53.8</v>
      </c>
      <c r="G41" s="8">
        <v>230</v>
      </c>
      <c r="H41" s="8">
        <v>16.53</v>
      </c>
      <c r="I41" s="8">
        <v>11.59</v>
      </c>
      <c r="J41" s="9">
        <v>15.22</v>
      </c>
    </row>
    <row r="42" spans="1:13" ht="15.75" x14ac:dyDescent="0.25">
      <c r="A42" s="6"/>
      <c r="B42" s="29" t="s">
        <v>25</v>
      </c>
      <c r="C42" s="48">
        <v>42</v>
      </c>
      <c r="D42" s="93" t="s">
        <v>37</v>
      </c>
      <c r="E42" s="45" t="s">
        <v>54</v>
      </c>
      <c r="F42" s="66">
        <f>4.49*25/20</f>
        <v>5.6124999999999998</v>
      </c>
      <c r="G42" s="8">
        <f>29*25/20</f>
        <v>36.25</v>
      </c>
      <c r="H42" s="8">
        <f>0.28*25/20</f>
        <v>0.35000000000000003</v>
      </c>
      <c r="I42" s="8">
        <f>2.73*25/20</f>
        <v>3.4125000000000001</v>
      </c>
      <c r="J42" s="9">
        <f>0.95*25/20</f>
        <v>1.1875</v>
      </c>
    </row>
    <row r="43" spans="1:13" ht="30" x14ac:dyDescent="0.25">
      <c r="A43" s="6"/>
      <c r="B43" s="7" t="s">
        <v>28</v>
      </c>
      <c r="C43" s="52">
        <v>11</v>
      </c>
      <c r="D43" s="53" t="s">
        <v>38</v>
      </c>
      <c r="E43" s="45" t="s">
        <v>29</v>
      </c>
      <c r="F43" s="66">
        <f>12.95/180*200</f>
        <v>14.388888888888888</v>
      </c>
      <c r="G43" s="8">
        <f>230*180/180</f>
        <v>230</v>
      </c>
      <c r="H43" s="8">
        <f>6.63*180/180</f>
        <v>6.6300000000000008</v>
      </c>
      <c r="I43" s="8">
        <f>6.38*180/180</f>
        <v>6.3800000000000008</v>
      </c>
      <c r="J43" s="9">
        <f>38.79*180/180</f>
        <v>38.79</v>
      </c>
    </row>
    <row r="44" spans="1:13" ht="15.75" x14ac:dyDescent="0.25">
      <c r="A44" s="6"/>
      <c r="B44" s="7" t="s">
        <v>21</v>
      </c>
      <c r="C44" s="52">
        <v>35</v>
      </c>
      <c r="D44" s="53" t="s">
        <v>40</v>
      </c>
      <c r="E44" s="45" t="s">
        <v>29</v>
      </c>
      <c r="F44" s="66">
        <v>5.62</v>
      </c>
      <c r="G44" s="8">
        <v>97</v>
      </c>
      <c r="H44" s="8">
        <v>0.68</v>
      </c>
      <c r="I44" s="8">
        <v>0.28000000000000003</v>
      </c>
      <c r="J44" s="9">
        <v>19.64</v>
      </c>
    </row>
    <row r="45" spans="1:13" ht="15.75" x14ac:dyDescent="0.25">
      <c r="A45" s="6"/>
      <c r="B45" s="99" t="s">
        <v>16</v>
      </c>
      <c r="C45" s="52" t="s">
        <v>31</v>
      </c>
      <c r="D45" s="49" t="s">
        <v>44</v>
      </c>
      <c r="E45" s="43">
        <v>35</v>
      </c>
      <c r="F45" s="66">
        <v>1.97</v>
      </c>
      <c r="G45" s="8">
        <f>42*35/20</f>
        <v>73.5</v>
      </c>
      <c r="H45" s="8">
        <f>0.98*35/20</f>
        <v>1.7149999999999999</v>
      </c>
      <c r="I45" s="8">
        <f>0.2*35/20</f>
        <v>0.35</v>
      </c>
      <c r="J45" s="9">
        <f>8.96*35/20</f>
        <v>15.680000000000001</v>
      </c>
    </row>
    <row r="46" spans="1:13" ht="15.75" x14ac:dyDescent="0.25">
      <c r="A46" s="6"/>
      <c r="B46" s="100" t="s">
        <v>17</v>
      </c>
      <c r="C46" s="52" t="s">
        <v>31</v>
      </c>
      <c r="D46" s="49" t="s">
        <v>32</v>
      </c>
      <c r="E46" s="43">
        <v>36</v>
      </c>
      <c r="F46" s="66">
        <f>78.6*0.036</f>
        <v>2.8295999999999997</v>
      </c>
      <c r="G46" s="8">
        <f>47*36/20</f>
        <v>84.6</v>
      </c>
      <c r="H46" s="8">
        <f>1.52*36/20</f>
        <v>2.7359999999999998</v>
      </c>
      <c r="I46" s="8">
        <f>0.16*36/20</f>
        <v>0.28799999999999998</v>
      </c>
      <c r="J46" s="9">
        <f>9.84*36/20</f>
        <v>17.712</v>
      </c>
    </row>
    <row r="47" spans="1:13" s="21" customFormat="1" ht="16.5" thickBot="1" x14ac:dyDescent="0.3">
      <c r="A47" s="36"/>
      <c r="B47" s="37"/>
      <c r="C47" s="38"/>
      <c r="D47" s="38"/>
      <c r="E47" s="47"/>
      <c r="F47" s="73">
        <f>SUM(F39:F46)</f>
        <v>112.51848888888888</v>
      </c>
      <c r="G47" s="39">
        <f>SUM(G39:G46)</f>
        <v>972.75</v>
      </c>
      <c r="H47" s="39">
        <f>SUM(H39:H46)</f>
        <v>32.341000000000001</v>
      </c>
      <c r="I47" s="39">
        <f>SUM(I39:I46)</f>
        <v>35.750500000000002</v>
      </c>
      <c r="J47" s="40">
        <f>SUM(J39:J46)</f>
        <v>132.45949999999999</v>
      </c>
    </row>
    <row r="48" spans="1:13" ht="23.45" customHeight="1" x14ac:dyDescent="0.25">
      <c r="A48" s="20" t="s">
        <v>23</v>
      </c>
    </row>
    <row r="49" spans="1:1" x14ac:dyDescent="0.25">
      <c r="A49" s="20"/>
    </row>
    <row r="50" spans="1:1" x14ac:dyDescent="0.25">
      <c r="A50" s="20" t="s">
        <v>27</v>
      </c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8" orientation="portrait" r:id="rId1"/>
  <ignoredErrors>
    <ignoredError sqref="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8"/>
  <sheetViews>
    <sheetView tabSelected="1" zoomScaleNormal="100" workbookViewId="0">
      <selection activeCell="I1" sqref="I1"/>
    </sheetView>
  </sheetViews>
  <sheetFormatPr defaultColWidth="8.85546875" defaultRowHeight="15" x14ac:dyDescent="0.25"/>
  <cols>
    <col min="1" max="1" width="11.7109375" style="21" customWidth="1"/>
    <col min="2" max="2" width="11.5703125" style="21" customWidth="1"/>
    <col min="3" max="3" width="7.140625" style="21" bestFit="1" customWidth="1"/>
    <col min="4" max="4" width="30.28515625" style="21" customWidth="1"/>
    <col min="5" max="5" width="10" style="22" customWidth="1"/>
    <col min="6" max="6" width="8.28515625" style="22" bestFit="1" customWidth="1"/>
    <col min="7" max="7" width="7.7109375" style="21" customWidth="1"/>
    <col min="8" max="8" width="6.5703125" style="21" bestFit="1" customWidth="1"/>
    <col min="9" max="9" width="11.5703125" style="21" customWidth="1"/>
    <col min="10" max="10" width="11.42578125" style="21" customWidth="1"/>
    <col min="11" max="16384" width="8.85546875" style="21"/>
  </cols>
  <sheetData>
    <row r="1" spans="1:19" ht="28.9" customHeight="1" x14ac:dyDescent="0.25">
      <c r="A1" s="21" t="s">
        <v>0</v>
      </c>
      <c r="B1" s="101" t="s">
        <v>64</v>
      </c>
      <c r="C1" s="102"/>
      <c r="D1" s="103"/>
      <c r="E1" s="22" t="s">
        <v>22</v>
      </c>
      <c r="F1" s="23"/>
      <c r="H1" s="21" t="s">
        <v>46</v>
      </c>
      <c r="I1" s="24">
        <v>45783</v>
      </c>
      <c r="J1" s="89"/>
    </row>
    <row r="2" spans="1:19" ht="15.75" thickBot="1" x14ac:dyDescent="0.3">
      <c r="B2" s="25" t="s">
        <v>24</v>
      </c>
    </row>
    <row r="3" spans="1:19" s="26" customFormat="1" ht="30.75" thickBot="1" x14ac:dyDescent="0.3">
      <c r="A3" s="76" t="s">
        <v>1</v>
      </c>
      <c r="B3" s="77" t="s">
        <v>2</v>
      </c>
      <c r="C3" s="77" t="s">
        <v>18</v>
      </c>
      <c r="D3" s="77" t="s">
        <v>3</v>
      </c>
      <c r="E3" s="78" t="s">
        <v>19</v>
      </c>
      <c r="F3" s="78" t="s">
        <v>4</v>
      </c>
      <c r="G3" s="79" t="s">
        <v>5</v>
      </c>
      <c r="H3" s="77" t="s">
        <v>6</v>
      </c>
      <c r="I3" s="77" t="s">
        <v>7</v>
      </c>
      <c r="J3" s="80" t="s">
        <v>8</v>
      </c>
    </row>
    <row r="4" spans="1:19" s="26" customFormat="1" ht="15.75" x14ac:dyDescent="0.25">
      <c r="A4" s="2" t="s">
        <v>9</v>
      </c>
      <c r="B4" s="3" t="s">
        <v>10</v>
      </c>
      <c r="C4" s="94">
        <v>47</v>
      </c>
      <c r="D4" s="95" t="s">
        <v>60</v>
      </c>
      <c r="E4" s="96" t="s">
        <v>41</v>
      </c>
      <c r="F4" s="97">
        <f>15.69/200*250</f>
        <v>19.612499999999997</v>
      </c>
      <c r="G4" s="87">
        <f>136*250/200</f>
        <v>170</v>
      </c>
      <c r="H4" s="87">
        <f>4.13*250/200</f>
        <v>5.1624999999999996</v>
      </c>
      <c r="I4" s="87">
        <f>4.49*250/200</f>
        <v>5.6124999999999998</v>
      </c>
      <c r="J4" s="88">
        <f>19.7*250/200</f>
        <v>24.625</v>
      </c>
    </row>
    <row r="5" spans="1:19" ht="15.75" x14ac:dyDescent="0.25">
      <c r="A5" s="6"/>
      <c r="B5" s="29" t="s">
        <v>56</v>
      </c>
      <c r="C5" s="52">
        <v>38</v>
      </c>
      <c r="D5" s="53" t="s">
        <v>30</v>
      </c>
      <c r="E5" s="43">
        <v>50</v>
      </c>
      <c r="F5" s="66">
        <v>10.210000000000001</v>
      </c>
      <c r="G5" s="8">
        <f>63/40*50</f>
        <v>78.75</v>
      </c>
      <c r="H5" s="8">
        <f>5.08/40*50</f>
        <v>6.35</v>
      </c>
      <c r="I5" s="8">
        <f>4.6/40*50</f>
        <v>5.75</v>
      </c>
      <c r="J5" s="9">
        <f>0.28/40*50</f>
        <v>0.35000000000000003</v>
      </c>
    </row>
    <row r="6" spans="1:19" ht="15.75" x14ac:dyDescent="0.25">
      <c r="A6" s="6"/>
      <c r="B6" s="29" t="s">
        <v>56</v>
      </c>
      <c r="C6" s="48">
        <v>3</v>
      </c>
      <c r="D6" s="49" t="s">
        <v>47</v>
      </c>
      <c r="E6" s="43">
        <v>10</v>
      </c>
      <c r="F6" s="66">
        <v>16.739999999999998</v>
      </c>
      <c r="G6" s="8">
        <f>65*10/10</f>
        <v>65</v>
      </c>
      <c r="H6" s="8">
        <f>0.08*10/10</f>
        <v>0.08</v>
      </c>
      <c r="I6" s="8">
        <f>7.15*10/10</f>
        <v>7.15</v>
      </c>
      <c r="J6" s="9">
        <f>0.13*10/10</f>
        <v>0.13</v>
      </c>
    </row>
    <row r="7" spans="1:19" ht="15.75" x14ac:dyDescent="0.25">
      <c r="A7" s="6"/>
      <c r="B7" s="99" t="s">
        <v>56</v>
      </c>
      <c r="C7" s="48">
        <v>6</v>
      </c>
      <c r="D7" s="49" t="s">
        <v>48</v>
      </c>
      <c r="E7" s="43">
        <v>16</v>
      </c>
      <c r="F7" s="66">
        <f>11.23*16/10</f>
        <v>17.968</v>
      </c>
      <c r="G7" s="8">
        <f>35*16/10</f>
        <v>56</v>
      </c>
      <c r="H7" s="8">
        <f>2.63*16/10</f>
        <v>4.2080000000000002</v>
      </c>
      <c r="I7" s="8">
        <f>2.66*16/10</f>
        <v>4.2560000000000002</v>
      </c>
      <c r="J7" s="9">
        <v>0</v>
      </c>
      <c r="P7" s="98"/>
      <c r="Q7" s="98"/>
      <c r="R7" s="98"/>
      <c r="S7" s="98"/>
    </row>
    <row r="8" spans="1:19" ht="15.75" x14ac:dyDescent="0.25">
      <c r="A8" s="6"/>
      <c r="B8" s="82" t="s">
        <v>11</v>
      </c>
      <c r="C8" s="74">
        <v>2</v>
      </c>
      <c r="D8" s="49" t="s">
        <v>49</v>
      </c>
      <c r="E8" s="43">
        <v>200</v>
      </c>
      <c r="F8" s="66">
        <v>16.440000000000001</v>
      </c>
      <c r="G8" s="8">
        <v>104</v>
      </c>
      <c r="H8" s="8">
        <v>3.8</v>
      </c>
      <c r="I8" s="8">
        <v>3.7</v>
      </c>
      <c r="J8" s="9">
        <v>15.18</v>
      </c>
    </row>
    <row r="9" spans="1:19" ht="15.75" x14ac:dyDescent="0.25">
      <c r="A9" s="6"/>
      <c r="B9" s="99" t="s">
        <v>16</v>
      </c>
      <c r="C9" s="48" t="s">
        <v>31</v>
      </c>
      <c r="D9" s="49" t="s">
        <v>44</v>
      </c>
      <c r="E9" s="43">
        <v>26</v>
      </c>
      <c r="F9" s="66">
        <v>1.74</v>
      </c>
      <c r="G9" s="8">
        <f>42*26/20</f>
        <v>54.6</v>
      </c>
      <c r="H9" s="8">
        <f>0.98*26/20</f>
        <v>1.274</v>
      </c>
      <c r="I9" s="8">
        <f>0.2*26/20</f>
        <v>0.26</v>
      </c>
      <c r="J9" s="9">
        <f>8.96*26/20</f>
        <v>11.648000000000001</v>
      </c>
    </row>
    <row r="10" spans="1:19" ht="15.75" x14ac:dyDescent="0.25">
      <c r="A10" s="6"/>
      <c r="B10" s="100" t="s">
        <v>17</v>
      </c>
      <c r="C10" s="48" t="s">
        <v>31</v>
      </c>
      <c r="D10" s="49" t="s">
        <v>50</v>
      </c>
      <c r="E10" s="43">
        <v>27</v>
      </c>
      <c r="F10" s="66">
        <f>121.8*0.027</f>
        <v>3.2885999999999997</v>
      </c>
      <c r="G10" s="8">
        <f>47*27/20</f>
        <v>63.45</v>
      </c>
      <c r="H10" s="8">
        <f>1.52*27/20</f>
        <v>2.052</v>
      </c>
      <c r="I10" s="8">
        <f>0.16*27/20</f>
        <v>0.21600000000000003</v>
      </c>
      <c r="J10" s="9">
        <f>9.84*27/20</f>
        <v>13.284000000000001</v>
      </c>
    </row>
    <row r="11" spans="1:19" ht="16.5" thickBot="1" x14ac:dyDescent="0.3">
      <c r="A11" s="59"/>
      <c r="B11" s="60"/>
      <c r="C11" s="61"/>
      <c r="D11" s="62"/>
      <c r="E11" s="63"/>
      <c r="F11" s="70">
        <f>SUM(F4:F10)</f>
        <v>85.999099999999999</v>
      </c>
      <c r="G11" s="64">
        <f>SUM(G4:G10)</f>
        <v>591.80000000000007</v>
      </c>
      <c r="H11" s="64">
        <f>SUM(H4:H10)</f>
        <v>22.926500000000001</v>
      </c>
      <c r="I11" s="64">
        <f>SUM(I4:I10)</f>
        <v>26.944500000000005</v>
      </c>
      <c r="J11" s="86">
        <f>SUM(J4:J10)</f>
        <v>65.216999999999999</v>
      </c>
    </row>
    <row r="12" spans="1:19" ht="30" x14ac:dyDescent="0.25">
      <c r="A12" s="28"/>
      <c r="B12" s="7" t="s">
        <v>28</v>
      </c>
      <c r="C12" s="52">
        <v>11</v>
      </c>
      <c r="D12" s="53" t="s">
        <v>38</v>
      </c>
      <c r="E12" s="45" t="s">
        <v>39</v>
      </c>
      <c r="F12" s="66">
        <f>14.92/150*150</f>
        <v>14.92</v>
      </c>
      <c r="G12" s="8">
        <f>223/150*150</f>
        <v>223</v>
      </c>
      <c r="H12" s="8">
        <f>6.63/150*150</f>
        <v>6.629999999999999</v>
      </c>
      <c r="I12" s="8">
        <f>5.67/150*150</f>
        <v>5.67</v>
      </c>
      <c r="J12" s="9">
        <f>38.78/150*150</f>
        <v>38.78</v>
      </c>
    </row>
    <row r="13" spans="1:19" ht="15.75" x14ac:dyDescent="0.25">
      <c r="A13" s="28"/>
      <c r="B13" s="7" t="s">
        <v>15</v>
      </c>
      <c r="C13" s="52">
        <v>67</v>
      </c>
      <c r="D13" s="53" t="s">
        <v>43</v>
      </c>
      <c r="E13" s="45" t="s">
        <v>36</v>
      </c>
      <c r="F13" s="66">
        <v>63.31</v>
      </c>
      <c r="G13" s="8">
        <v>207</v>
      </c>
      <c r="H13" s="8">
        <v>14.88</v>
      </c>
      <c r="I13" s="8">
        <v>10.43</v>
      </c>
      <c r="J13" s="9">
        <v>13.7</v>
      </c>
    </row>
    <row r="14" spans="1:19" ht="15.75" x14ac:dyDescent="0.25">
      <c r="A14" s="28"/>
      <c r="B14" s="29" t="s">
        <v>56</v>
      </c>
      <c r="C14" s="48">
        <v>42</v>
      </c>
      <c r="D14" s="93" t="s">
        <v>37</v>
      </c>
      <c r="E14" s="45" t="s">
        <v>54</v>
      </c>
      <c r="F14" s="66">
        <f>5.97/20*25</f>
        <v>7.4624999999999995</v>
      </c>
      <c r="G14" s="8">
        <f>29*20/20</f>
        <v>29</v>
      </c>
      <c r="H14" s="8">
        <f>0.28*20/20</f>
        <v>0.28000000000000003</v>
      </c>
      <c r="I14" s="8">
        <f>2.73*20/20</f>
        <v>2.73</v>
      </c>
      <c r="J14" s="9">
        <f>0.95*20/20</f>
        <v>0.95</v>
      </c>
    </row>
    <row r="15" spans="1:19" ht="15.75" x14ac:dyDescent="0.25">
      <c r="A15" s="28"/>
      <c r="B15" s="99" t="s">
        <v>21</v>
      </c>
      <c r="C15" s="52">
        <v>57</v>
      </c>
      <c r="D15" s="53" t="s">
        <v>33</v>
      </c>
      <c r="E15" s="45" t="s">
        <v>29</v>
      </c>
      <c r="F15" s="66">
        <v>1.49</v>
      </c>
      <c r="G15" s="8">
        <v>41</v>
      </c>
      <c r="H15" s="8">
        <v>0</v>
      </c>
      <c r="I15" s="8">
        <v>0</v>
      </c>
      <c r="J15" s="9">
        <v>10.01</v>
      </c>
    </row>
    <row r="16" spans="1:19" ht="15.75" x14ac:dyDescent="0.25">
      <c r="A16" s="28"/>
      <c r="B16" s="100" t="s">
        <v>17</v>
      </c>
      <c r="C16" s="48" t="s">
        <v>31</v>
      </c>
      <c r="D16" s="49" t="s">
        <v>32</v>
      </c>
      <c r="E16" s="43">
        <v>30</v>
      </c>
      <c r="F16" s="66">
        <v>2.82</v>
      </c>
      <c r="G16" s="8">
        <f>47*30/20</f>
        <v>70.5</v>
      </c>
      <c r="H16" s="8">
        <f>1.52*30/20</f>
        <v>2.2800000000000002</v>
      </c>
      <c r="I16" s="8">
        <f>0.16*30/20</f>
        <v>0.24</v>
      </c>
      <c r="J16" s="9">
        <f>9.84*30/20</f>
        <v>14.76</v>
      </c>
    </row>
    <row r="17" spans="1:10" ht="16.5" thickBot="1" x14ac:dyDescent="0.3">
      <c r="A17" s="30"/>
      <c r="B17" s="31"/>
      <c r="C17" s="32"/>
      <c r="D17" s="32"/>
      <c r="E17" s="65"/>
      <c r="F17" s="81">
        <f>SUM(F12:F16)</f>
        <v>90.002499999999998</v>
      </c>
      <c r="G17" s="33">
        <f>SUM(G12:G16)</f>
        <v>570.5</v>
      </c>
      <c r="H17" s="33">
        <f>SUM(H12:H16)</f>
        <v>24.07</v>
      </c>
      <c r="I17" s="33">
        <f>SUM(I12:I16)</f>
        <v>19.07</v>
      </c>
      <c r="J17" s="34">
        <f>SUM(J12:J16)</f>
        <v>78.2</v>
      </c>
    </row>
    <row r="18" spans="1:10" ht="30" x14ac:dyDescent="0.25">
      <c r="A18" s="28"/>
      <c r="B18" s="7" t="s">
        <v>28</v>
      </c>
      <c r="C18" s="52">
        <v>11</v>
      </c>
      <c r="D18" s="53" t="s">
        <v>38</v>
      </c>
      <c r="E18" s="45" t="s">
        <v>63</v>
      </c>
      <c r="F18" s="66">
        <f>14.92/150*160</f>
        <v>15.914666666666665</v>
      </c>
      <c r="G18" s="8">
        <f>223/150*160</f>
        <v>237.86666666666665</v>
      </c>
      <c r="H18" s="8">
        <f>6.63/150*160</f>
        <v>7.0719999999999992</v>
      </c>
      <c r="I18" s="8">
        <f>5.67/150*160</f>
        <v>6.048</v>
      </c>
      <c r="J18" s="9">
        <f>38.78/150*160</f>
        <v>41.365333333333332</v>
      </c>
    </row>
    <row r="19" spans="1:10" ht="15.75" x14ac:dyDescent="0.25">
      <c r="A19" s="28"/>
      <c r="B19" s="7" t="s">
        <v>15</v>
      </c>
      <c r="C19" s="52">
        <v>67</v>
      </c>
      <c r="D19" s="53" t="s">
        <v>43</v>
      </c>
      <c r="E19" s="45" t="s">
        <v>36</v>
      </c>
      <c r="F19" s="66">
        <v>63.31</v>
      </c>
      <c r="G19" s="8">
        <v>207</v>
      </c>
      <c r="H19" s="8">
        <v>14.88</v>
      </c>
      <c r="I19" s="8">
        <v>10.43</v>
      </c>
      <c r="J19" s="9">
        <v>13.7</v>
      </c>
    </row>
    <row r="20" spans="1:10" ht="15.75" x14ac:dyDescent="0.25">
      <c r="A20" s="28"/>
      <c r="B20" s="29" t="s">
        <v>56</v>
      </c>
      <c r="C20" s="48">
        <v>42</v>
      </c>
      <c r="D20" s="93" t="s">
        <v>37</v>
      </c>
      <c r="E20" s="45" t="s">
        <v>54</v>
      </c>
      <c r="F20" s="66">
        <f>5.97*25/20</f>
        <v>7.4625000000000004</v>
      </c>
      <c r="G20" s="8">
        <f>29*30/20</f>
        <v>43.5</v>
      </c>
      <c r="H20" s="8">
        <f>0.28*30/20</f>
        <v>0.42000000000000004</v>
      </c>
      <c r="I20" s="8">
        <f>2.73*30/20</f>
        <v>4.0950000000000006</v>
      </c>
      <c r="J20" s="9">
        <f>0.95*30/20</f>
        <v>1.425</v>
      </c>
    </row>
    <row r="21" spans="1:10" ht="15.75" x14ac:dyDescent="0.25">
      <c r="A21" s="28"/>
      <c r="B21" s="99" t="s">
        <v>21</v>
      </c>
      <c r="C21" s="52">
        <v>35</v>
      </c>
      <c r="D21" s="53" t="s">
        <v>40</v>
      </c>
      <c r="E21" s="45" t="s">
        <v>29</v>
      </c>
      <c r="F21" s="66">
        <v>7.48</v>
      </c>
      <c r="G21" s="8">
        <v>97</v>
      </c>
      <c r="H21" s="8">
        <v>0.68</v>
      </c>
      <c r="I21" s="8">
        <v>0.28000000000000003</v>
      </c>
      <c r="J21" s="9">
        <v>19.64</v>
      </c>
    </row>
    <row r="22" spans="1:10" ht="15.75" x14ac:dyDescent="0.25">
      <c r="A22" s="28"/>
      <c r="B22" s="29" t="s">
        <v>56</v>
      </c>
      <c r="C22" s="52" t="s">
        <v>31</v>
      </c>
      <c r="D22" s="53" t="s">
        <v>57</v>
      </c>
      <c r="E22" s="45" t="s">
        <v>58</v>
      </c>
      <c r="F22" s="66">
        <f>324.7*1.33*0.026</f>
        <v>11.228126</v>
      </c>
      <c r="G22" s="8">
        <f>82.68</f>
        <v>82.68</v>
      </c>
      <c r="H22" s="8">
        <v>1.07</v>
      </c>
      <c r="I22" s="8">
        <v>1.17</v>
      </c>
      <c r="J22" s="9">
        <v>19.79</v>
      </c>
    </row>
    <row r="23" spans="1:10" ht="15.75" x14ac:dyDescent="0.25">
      <c r="A23" s="28"/>
      <c r="B23" s="99" t="s">
        <v>16</v>
      </c>
      <c r="C23" s="48" t="s">
        <v>31</v>
      </c>
      <c r="D23" s="49" t="s">
        <v>44</v>
      </c>
      <c r="E23" s="43">
        <v>28</v>
      </c>
      <c r="F23" s="66">
        <f>69.05*0.028</f>
        <v>1.9334</v>
      </c>
      <c r="G23" s="8">
        <f>42*28/20</f>
        <v>58.8</v>
      </c>
      <c r="H23" s="8">
        <f>0.98*28/20</f>
        <v>1.3719999999999999</v>
      </c>
      <c r="I23" s="8">
        <f>0.2*28/20</f>
        <v>0.28000000000000003</v>
      </c>
      <c r="J23" s="9">
        <f>8.96*28/20</f>
        <v>12.544</v>
      </c>
    </row>
    <row r="24" spans="1:10" ht="15.75" x14ac:dyDescent="0.25">
      <c r="A24" s="28"/>
      <c r="B24" s="100" t="s">
        <v>17</v>
      </c>
      <c r="C24" s="48" t="s">
        <v>31</v>
      </c>
      <c r="D24" s="49" t="s">
        <v>32</v>
      </c>
      <c r="E24" s="43">
        <v>29</v>
      </c>
      <c r="F24" s="66">
        <v>2.67</v>
      </c>
      <c r="G24" s="8">
        <f>47*29/20</f>
        <v>68.150000000000006</v>
      </c>
      <c r="H24" s="8">
        <f>1.52*29/20</f>
        <v>2.2039999999999997</v>
      </c>
      <c r="I24" s="8">
        <f>0.16*29/20</f>
        <v>0.23199999999999998</v>
      </c>
      <c r="J24" s="9">
        <f>9.84*29/20</f>
        <v>14.268000000000001</v>
      </c>
    </row>
    <row r="25" spans="1:10" ht="16.5" thickBot="1" x14ac:dyDescent="0.3">
      <c r="A25" s="30"/>
      <c r="B25" s="31"/>
      <c r="C25" s="32"/>
      <c r="D25" s="32"/>
      <c r="E25" s="65"/>
      <c r="F25" s="81">
        <f>SUM(F18:F24)</f>
        <v>109.99869266666668</v>
      </c>
      <c r="G25" s="33">
        <f>SUM(G18:G24)</f>
        <v>794.99666666666656</v>
      </c>
      <c r="H25" s="33">
        <f>SUM(H18:H24)</f>
        <v>27.698</v>
      </c>
      <c r="I25" s="33">
        <f>SUM(I18:I24)</f>
        <v>22.535000000000004</v>
      </c>
      <c r="J25" s="34">
        <f>SUM(J18:J24)</f>
        <v>122.73233333333333</v>
      </c>
    </row>
    <row r="26" spans="1:10" ht="30" x14ac:dyDescent="0.25">
      <c r="A26" s="27"/>
      <c r="B26" s="7" t="s">
        <v>14</v>
      </c>
      <c r="C26" s="52">
        <v>28</v>
      </c>
      <c r="D26" s="53" t="s">
        <v>51</v>
      </c>
      <c r="E26" s="45" t="s">
        <v>55</v>
      </c>
      <c r="F26" s="66">
        <f>12.94/196*235+2.04+7.82</f>
        <v>25.374795918367347</v>
      </c>
      <c r="G26" s="8">
        <v>133</v>
      </c>
      <c r="H26" s="8">
        <v>2.19</v>
      </c>
      <c r="I26" s="8">
        <v>6.29</v>
      </c>
      <c r="J26" s="9">
        <v>19.62</v>
      </c>
    </row>
    <row r="27" spans="1:10" ht="30" x14ac:dyDescent="0.25">
      <c r="A27" s="28"/>
      <c r="B27" s="7" t="s">
        <v>28</v>
      </c>
      <c r="C27" s="52">
        <v>11</v>
      </c>
      <c r="D27" s="53" t="s">
        <v>38</v>
      </c>
      <c r="E27" s="45" t="s">
        <v>39</v>
      </c>
      <c r="F27" s="66">
        <f>14.92/150*150</f>
        <v>14.92</v>
      </c>
      <c r="G27" s="8">
        <f>223/150*150</f>
        <v>223</v>
      </c>
      <c r="H27" s="8">
        <f>6.63/150*150</f>
        <v>6.629999999999999</v>
      </c>
      <c r="I27" s="8">
        <f>5.67/150*150</f>
        <v>5.67</v>
      </c>
      <c r="J27" s="9">
        <f>38.78/150*150</f>
        <v>38.78</v>
      </c>
    </row>
    <row r="28" spans="1:10" ht="15.75" x14ac:dyDescent="0.25">
      <c r="A28" s="28"/>
      <c r="B28" s="7" t="s">
        <v>15</v>
      </c>
      <c r="C28" s="52">
        <v>67</v>
      </c>
      <c r="D28" s="53" t="s">
        <v>43</v>
      </c>
      <c r="E28" s="45" t="s">
        <v>36</v>
      </c>
      <c r="F28" s="66">
        <v>63.31</v>
      </c>
      <c r="G28" s="8">
        <v>207</v>
      </c>
      <c r="H28" s="8">
        <v>14.88</v>
      </c>
      <c r="I28" s="8">
        <v>10.43</v>
      </c>
      <c r="J28" s="9">
        <v>13.7</v>
      </c>
    </row>
    <row r="29" spans="1:10" ht="15.75" x14ac:dyDescent="0.25">
      <c r="A29" s="28"/>
      <c r="B29" s="29" t="s">
        <v>56</v>
      </c>
      <c r="C29" s="48">
        <v>42</v>
      </c>
      <c r="D29" s="93" t="s">
        <v>37</v>
      </c>
      <c r="E29" s="45" t="s">
        <v>54</v>
      </c>
      <c r="F29" s="66">
        <f>5.97*25/20</f>
        <v>7.4625000000000004</v>
      </c>
      <c r="G29" s="8">
        <f>29*30/20</f>
        <v>43.5</v>
      </c>
      <c r="H29" s="8">
        <f>0.28*30/20</f>
        <v>0.42000000000000004</v>
      </c>
      <c r="I29" s="8">
        <f>2.73*30/20</f>
        <v>4.0950000000000006</v>
      </c>
      <c r="J29" s="9">
        <f>0.95*30/20</f>
        <v>1.425</v>
      </c>
    </row>
    <row r="30" spans="1:10" ht="15.75" x14ac:dyDescent="0.25">
      <c r="A30" s="28"/>
      <c r="B30" s="99" t="s">
        <v>21</v>
      </c>
      <c r="C30" s="52">
        <v>35</v>
      </c>
      <c r="D30" s="53" t="s">
        <v>40</v>
      </c>
      <c r="E30" s="45" t="s">
        <v>29</v>
      </c>
      <c r="F30" s="66">
        <v>7.48</v>
      </c>
      <c r="G30" s="8">
        <v>97</v>
      </c>
      <c r="H30" s="8">
        <v>0.68</v>
      </c>
      <c r="I30" s="8">
        <v>0.28000000000000003</v>
      </c>
      <c r="J30" s="9">
        <v>19.64</v>
      </c>
    </row>
    <row r="31" spans="1:10" ht="15.75" x14ac:dyDescent="0.25">
      <c r="A31" s="28"/>
      <c r="B31" s="29" t="s">
        <v>56</v>
      </c>
      <c r="C31" s="52" t="s">
        <v>31</v>
      </c>
      <c r="D31" s="53" t="s">
        <v>57</v>
      </c>
      <c r="E31" s="45" t="s">
        <v>58</v>
      </c>
      <c r="F31" s="66">
        <f>324.7*1.33*0.026</f>
        <v>11.228126</v>
      </c>
      <c r="G31" s="8">
        <f>82.68</f>
        <v>82.68</v>
      </c>
      <c r="H31" s="8">
        <v>1.07</v>
      </c>
      <c r="I31" s="8">
        <v>1.17</v>
      </c>
      <c r="J31" s="9">
        <v>19.79</v>
      </c>
    </row>
    <row r="32" spans="1:10" ht="15.75" x14ac:dyDescent="0.25">
      <c r="A32" s="28"/>
      <c r="B32" s="99" t="s">
        <v>16</v>
      </c>
      <c r="C32" s="48" t="s">
        <v>31</v>
      </c>
      <c r="D32" s="49" t="s">
        <v>44</v>
      </c>
      <c r="E32" s="43">
        <v>32</v>
      </c>
      <c r="F32" s="66">
        <f>69.05*0.032</f>
        <v>2.2096</v>
      </c>
      <c r="G32" s="8">
        <f>42*32/20</f>
        <v>67.2</v>
      </c>
      <c r="H32" s="8">
        <f>0.98*32/20</f>
        <v>1.5680000000000001</v>
      </c>
      <c r="I32" s="8">
        <f>0.2*32/20</f>
        <v>0.32</v>
      </c>
      <c r="J32" s="9">
        <f>8.96*32/20</f>
        <v>14.336000000000002</v>
      </c>
    </row>
    <row r="33" spans="1:10" ht="15.75" x14ac:dyDescent="0.25">
      <c r="A33" s="28"/>
      <c r="B33" s="100" t="s">
        <v>17</v>
      </c>
      <c r="C33" s="48" t="s">
        <v>31</v>
      </c>
      <c r="D33" s="49" t="s">
        <v>32</v>
      </c>
      <c r="E33" s="43">
        <v>32</v>
      </c>
      <c r="F33" s="66">
        <f>94.32*0.032</f>
        <v>3.01824</v>
      </c>
      <c r="G33" s="8">
        <f>47*32/20</f>
        <v>75.2</v>
      </c>
      <c r="H33" s="8">
        <f>1.52*32/20</f>
        <v>2.4319999999999999</v>
      </c>
      <c r="I33" s="8">
        <f>0.16*32/20</f>
        <v>0.25600000000000001</v>
      </c>
      <c r="J33" s="9">
        <f>9.84*32/20</f>
        <v>15.744</v>
      </c>
    </row>
    <row r="34" spans="1:10" ht="16.5" thickBot="1" x14ac:dyDescent="0.3">
      <c r="A34" s="30"/>
      <c r="B34" s="31"/>
      <c r="C34" s="32"/>
      <c r="D34" s="32"/>
      <c r="E34" s="65"/>
      <c r="F34" s="81">
        <f>SUM(F26:F33)</f>
        <v>135.00326191836734</v>
      </c>
      <c r="G34" s="33">
        <f>SUM(G26:G33)</f>
        <v>928.58000000000015</v>
      </c>
      <c r="H34" s="33">
        <f>SUM(H26:H33)</f>
        <v>29.87</v>
      </c>
      <c r="I34" s="33">
        <f>SUM(I26:I33)</f>
        <v>28.511000000000003</v>
      </c>
      <c r="J34" s="34">
        <f>SUM(J26:J33)</f>
        <v>143.03500000000003</v>
      </c>
    </row>
    <row r="35" spans="1:10" customFormat="1" ht="23.45" customHeight="1" x14ac:dyDescent="0.25">
      <c r="A35" s="20" t="s">
        <v>23</v>
      </c>
      <c r="E35" s="14"/>
      <c r="F35" s="14"/>
    </row>
    <row r="36" spans="1:10" customFormat="1" x14ac:dyDescent="0.25">
      <c r="A36" s="20"/>
      <c r="E36" s="14"/>
      <c r="F36" s="14"/>
    </row>
    <row r="37" spans="1:10" customFormat="1" x14ac:dyDescent="0.25">
      <c r="A37" s="20" t="s">
        <v>27</v>
      </c>
      <c r="E37" s="14"/>
      <c r="F37" s="14"/>
    </row>
    <row r="38" spans="1:10" customFormat="1" x14ac:dyDescent="0.25">
      <c r="E38" s="14"/>
      <c r="F38" s="14"/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91" fitToHeight="0" orientation="portrait" r:id="rId1"/>
  <ignoredErrors>
    <ignoredError sqref="G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бесплатно</vt:lpstr>
      <vt:lpstr>платно</vt:lpstr>
      <vt:lpstr>бесплатно!Область_печати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sdfsdf sdg</cp:lastModifiedBy>
  <cp:lastPrinted>2024-10-21T02:49:34Z</cp:lastPrinted>
  <dcterms:created xsi:type="dcterms:W3CDTF">2015-06-05T18:19:34Z</dcterms:created>
  <dcterms:modified xsi:type="dcterms:W3CDTF">2025-05-05T06:05:16Z</dcterms:modified>
</cp:coreProperties>
</file>