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Mi\Downloads\"/>
    </mc:Choice>
  </mc:AlternateContent>
  <xr:revisionPtr revIDLastSave="0" documentId="8_{CAC1CDD8-2B4F-4175-882C-5FC4C79ADEC3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бесплатно" sheetId="1" r:id="rId1"/>
    <sheet name="платно" sheetId="2" r:id="rId2"/>
  </sheets>
  <definedNames>
    <definedName name="_xlnm.Print_Area" localSheetId="0">бесплатно!$A$1:$J$43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J25" i="2"/>
  <c r="I25" i="2"/>
  <c r="H25" i="2"/>
  <c r="G25" i="2"/>
  <c r="F25" i="2"/>
  <c r="F22" i="2"/>
  <c r="F23" i="2"/>
  <c r="J19" i="2"/>
  <c r="I19" i="2"/>
  <c r="H19" i="2"/>
  <c r="G19" i="2"/>
  <c r="J18" i="2"/>
  <c r="I18" i="2"/>
  <c r="H18" i="2"/>
  <c r="G18" i="2"/>
  <c r="F19" i="2"/>
  <c r="F16" i="2"/>
  <c r="J13" i="2"/>
  <c r="I13" i="2"/>
  <c r="H13" i="2"/>
  <c r="G13" i="2"/>
  <c r="F11" i="2"/>
  <c r="J7" i="2"/>
  <c r="I7" i="2"/>
  <c r="H7" i="2"/>
  <c r="G7" i="2"/>
  <c r="F7" i="2"/>
  <c r="F5" i="2"/>
  <c r="J40" i="1"/>
  <c r="I40" i="1"/>
  <c r="H40" i="1"/>
  <c r="G40" i="1"/>
  <c r="J39" i="1"/>
  <c r="I39" i="1"/>
  <c r="H39" i="1"/>
  <c r="G39" i="1"/>
  <c r="F40" i="1"/>
  <c r="F39" i="1"/>
  <c r="F37" i="1"/>
  <c r="F36" i="1"/>
  <c r="J20" i="1"/>
  <c r="I20" i="1"/>
  <c r="H20" i="1"/>
  <c r="G20" i="1"/>
  <c r="J19" i="1"/>
  <c r="I19" i="1"/>
  <c r="H19" i="1"/>
  <c r="G19" i="1"/>
  <c r="F19" i="1"/>
  <c r="F20" i="1"/>
  <c r="F17" i="1"/>
  <c r="F16" i="1"/>
  <c r="F5" i="1"/>
  <c r="J21" i="2" l="1"/>
  <c r="I21" i="2"/>
  <c r="H21" i="2"/>
  <c r="G21" i="2"/>
  <c r="F21" i="2"/>
  <c r="J15" i="2"/>
  <c r="I15" i="2"/>
  <c r="H15" i="2"/>
  <c r="G15" i="2"/>
  <c r="F15" i="2"/>
  <c r="J10" i="2"/>
  <c r="I10" i="2"/>
  <c r="H10" i="2"/>
  <c r="G10" i="2"/>
  <c r="F10" i="2"/>
  <c r="J8" i="2"/>
  <c r="I8" i="2"/>
  <c r="H8" i="2"/>
  <c r="G8" i="2"/>
  <c r="F8" i="2"/>
  <c r="F26" i="1"/>
  <c r="F15" i="1"/>
  <c r="J12" i="1"/>
  <c r="I12" i="1"/>
  <c r="H12" i="1"/>
  <c r="G12" i="1"/>
  <c r="F6" i="1"/>
  <c r="J5" i="2" l="1"/>
  <c r="I5" i="2"/>
  <c r="H5" i="2"/>
  <c r="G5" i="2"/>
  <c r="F14" i="2" l="1"/>
  <c r="J32" i="1" l="1"/>
  <c r="I32" i="1"/>
  <c r="H32" i="1"/>
  <c r="G32" i="1"/>
  <c r="F33" i="1"/>
  <c r="F29" i="1"/>
  <c r="F28" i="1"/>
  <c r="F13" i="1"/>
  <c r="F9" i="1"/>
  <c r="F8" i="1"/>
  <c r="F9" i="2" l="1"/>
  <c r="F34" i="1" l="1"/>
  <c r="J26" i="1"/>
  <c r="I26" i="1"/>
  <c r="H26" i="1"/>
  <c r="G26" i="1"/>
  <c r="J6" i="1"/>
  <c r="I6" i="1"/>
  <c r="H6" i="1"/>
  <c r="G6" i="1"/>
  <c r="F27" i="2" l="1"/>
  <c r="J35" i="1"/>
  <c r="I35" i="1"/>
  <c r="H35" i="1"/>
  <c r="G35" i="1"/>
  <c r="J15" i="1"/>
  <c r="I15" i="1"/>
  <c r="H15" i="1"/>
  <c r="G15" i="1"/>
  <c r="J9" i="1"/>
  <c r="I9" i="1"/>
  <c r="H9" i="1"/>
  <c r="G9" i="1"/>
  <c r="J8" i="1"/>
  <c r="I8" i="1"/>
  <c r="H8" i="1"/>
  <c r="G8" i="1"/>
  <c r="F14" i="1"/>
  <c r="J33" i="1" l="1"/>
  <c r="I33" i="1"/>
  <c r="H33" i="1"/>
  <c r="G33" i="1"/>
  <c r="J25" i="1"/>
  <c r="I25" i="1"/>
  <c r="H25" i="1"/>
  <c r="G25" i="1"/>
  <c r="J29" i="1"/>
  <c r="I29" i="1"/>
  <c r="H29" i="1"/>
  <c r="G29" i="1"/>
  <c r="J28" i="1"/>
  <c r="I28" i="1"/>
  <c r="H28" i="1"/>
  <c r="G28" i="1"/>
  <c r="F21" i="1" l="1"/>
  <c r="I27" i="2" l="1"/>
  <c r="J5" i="1"/>
  <c r="I5" i="1"/>
  <c r="H5" i="1"/>
  <c r="G5" i="1"/>
  <c r="H27" i="2"/>
  <c r="J27" i="2"/>
  <c r="G27" i="2" l="1"/>
  <c r="F20" i="2"/>
  <c r="J10" i="1" l="1"/>
  <c r="G10" i="1"/>
  <c r="J34" i="1"/>
  <c r="I34" i="1"/>
  <c r="H34" i="1"/>
  <c r="G34" i="1"/>
  <c r="J14" i="1"/>
  <c r="I14" i="1"/>
  <c r="H14" i="1"/>
  <c r="I10" i="1" l="1"/>
  <c r="H10" i="1"/>
  <c r="G14" i="1" l="1"/>
  <c r="G41" i="1"/>
  <c r="G9" i="2" l="1"/>
  <c r="G14" i="2" s="1"/>
  <c r="G30" i="1"/>
  <c r="G20" i="2" l="1"/>
  <c r="J41" i="1"/>
  <c r="H41" i="1"/>
  <c r="I41" i="1"/>
  <c r="J30" i="1"/>
  <c r="I30" i="1"/>
  <c r="H30" i="1"/>
  <c r="H21" i="1"/>
  <c r="J21" i="1"/>
  <c r="I21" i="1"/>
  <c r="G21" i="1"/>
  <c r="H20" i="2" l="1"/>
  <c r="H9" i="2"/>
  <c r="H14" i="2" s="1"/>
  <c r="I9" i="2"/>
  <c r="I14" i="2" s="1"/>
  <c r="I20" i="2"/>
  <c r="J9" i="2"/>
  <c r="J14" i="2" s="1"/>
  <c r="J20" i="2"/>
</calcChain>
</file>

<file path=xl/sharedStrings.xml><?xml version="1.0" encoding="utf-8"?>
<sst xmlns="http://schemas.openxmlformats.org/spreadsheetml/2006/main" count="198" uniqueCount="60">
  <si>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</si>
  <si>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</si>
  <si>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</si>
  <si>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</si>
  <si>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</si>
  <si>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</si>
  <si>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</si>
  <si>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</si>
  <si>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</si>
  <si>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</si>
  <si>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</si>
  <si>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</si>
  <si>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</si>
  <si>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</si>
  <si>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</si>
  <si>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</si>
  <si>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</si>
  <si>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</si>
  <si>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</si>
  <si>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</si>
  <si>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</si>
  <si>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</si>
  <si>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</si>
  <si>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</si>
  <si>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</si>
  <si>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корп</t>
  </si>
  <si>
    <t>За наличный расчет</t>
  </si>
  <si>
    <t>Зав.производством __________________________________</t>
  </si>
  <si>
    <t>гарнир</t>
  </si>
  <si>
    <t>добавка</t>
  </si>
  <si>
    <t>Зав.производством ____________________</t>
  </si>
  <si>
    <t>Котлеты рубленые из птицы</t>
  </si>
  <si>
    <t>Капуста тушеная</t>
  </si>
  <si>
    <t>Чай с сахаром</t>
  </si>
  <si>
    <t>Кефир</t>
  </si>
  <si>
    <t>Яблоко</t>
  </si>
  <si>
    <t>Компот из смеси сухофруктов</t>
  </si>
  <si>
    <t>200</t>
  </si>
  <si>
    <t>Плов из птицы</t>
  </si>
  <si>
    <t>Батон</t>
  </si>
  <si>
    <t>100</t>
  </si>
  <si>
    <t>90</t>
  </si>
  <si>
    <t>6-11 лет</t>
  </si>
  <si>
    <t>12-18 лет</t>
  </si>
  <si>
    <t>День 9</t>
  </si>
  <si>
    <t>60</t>
  </si>
  <si>
    <t>Овощи натуральные свежие (или соленые) - огурец соленый</t>
  </si>
  <si>
    <t>Щи из свежей капусты с картофелем со сметаной, с мясом птицы</t>
  </si>
  <si>
    <t>Бухгалтер-калькулятор___________________________</t>
  </si>
  <si>
    <t>240</t>
  </si>
  <si>
    <t>280</t>
  </si>
  <si>
    <t>Печенье Творожное</t>
  </si>
  <si>
    <t>245/5</t>
  </si>
  <si>
    <t>Щи из свежей капусты с картофелем со сметаной</t>
  </si>
  <si>
    <t>30</t>
  </si>
  <si>
    <t>55</t>
  </si>
  <si>
    <t>235/5/10</t>
  </si>
  <si>
    <t>31</t>
  </si>
  <si>
    <t>35</t>
  </si>
  <si>
    <t>МБОУ Элитовская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</si>
</sst>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14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21" xfId="0" applyFont="1" applyBorder="1"/>
    <xf numFmtId="0" fontId="4" fillId="0" borderId="21" xfId="0" applyFont="1" applyBorder="1"/>
    <xf numFmtId="0" fontId="3" fillId="0" borderId="21" xfId="0" applyFont="1" applyBorder="1" applyAlignment="1">
      <alignment horizontal="center"/>
    </xf>
    <xf numFmtId="0" fontId="5" fillId="0" borderId="0" xfId="0" applyFont="1"/>
    <xf numFmtId="0" fontId="0" fillId="0" borderId="5" xfId="0" applyBorder="1"/>
    <xf numFmtId="0" fontId="0" fillId="0" borderId="6" xfId="0" applyBorder="1"/>
    <xf numFmtId="49" fontId="5" fillId="0" borderId="6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0" fillId="0" borderId="8" xfId="0" applyBorder="1"/>
    <xf numFmtId="0" fontId="3" fillId="0" borderId="4" xfId="0" applyFont="1" applyBorder="1"/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3" fillId="0" borderId="11" xfId="0" applyFont="1" applyBorder="1"/>
    <xf numFmtId="0" fontId="0" fillId="0" borderId="1" xfId="0" applyBorder="1"/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wrapText="1"/>
      <protection locked="0"/>
    </xf>
    <xf numFmtId="1" fontId="5" fillId="0" borderId="19" xfId="0" applyNumberFormat="1" applyFont="1" applyBorder="1" applyAlignment="1" applyProtection="1">
      <alignment horizontal="center"/>
      <protection locked="0"/>
    </xf>
    <xf numFmtId="2" fontId="5" fillId="0" borderId="19" xfId="0" applyNumberFormat="1" applyFont="1" applyBorder="1" applyAlignment="1" applyProtection="1">
      <alignment horizontal="center"/>
      <protection locked="0"/>
    </xf>
    <xf numFmtId="2" fontId="0" fillId="0" borderId="19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5" fillId="0" borderId="6" xfId="0" applyNumberFormat="1" applyFont="1" applyBorder="1" applyAlignment="1" applyProtection="1">
      <alignment horizontal="center"/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4" xfId="0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7" xfId="0" applyBorder="1"/>
    <xf numFmtId="0" fontId="0" fillId="0" borderId="14" xfId="0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49" fontId="5" fillId="0" borderId="11" xfId="0" applyNumberFormat="1" applyFont="1" applyBorder="1" applyAlignment="1" applyProtection="1">
      <alignment horizontal="center"/>
      <protection locked="0"/>
    </xf>
    <xf numFmtId="2" fontId="5" fillId="0" borderId="11" xfId="0" applyNumberFormat="1" applyFont="1" applyBorder="1" applyAlignment="1" applyProtection="1">
      <alignment horizontal="center"/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5" fillId="0" borderId="14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0" fillId="0" borderId="14" xfId="0" applyNumberFormat="1" applyBorder="1"/>
    <xf numFmtId="2" fontId="0" fillId="0" borderId="15" xfId="0" applyNumberForma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7" fillId="0" borderId="14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 vertical="center"/>
    </xf>
    <xf numFmtId="2" fontId="3" fillId="0" borderId="14" xfId="0" applyNumberFormat="1" applyFont="1" applyBorder="1"/>
    <xf numFmtId="2" fontId="3" fillId="0" borderId="15" xfId="0" applyNumberFormat="1" applyFont="1" applyBorder="1"/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2" fontId="0" fillId="0" borderId="26" xfId="0" applyNumberFormat="1" applyBorder="1" applyProtection="1">
      <protection locked="0"/>
    </xf>
    <xf numFmtId="2" fontId="0" fillId="0" borderId="27" xfId="0" applyNumberFormat="1" applyBorder="1" applyProtection="1">
      <protection locked="0"/>
    </xf>
    <xf numFmtId="2" fontId="0" fillId="0" borderId="0" xfId="0" applyNumberFormat="1"/>
    <xf numFmtId="0" fontId="0" fillId="0" borderId="26" xfId="0" applyBorder="1"/>
    <xf numFmtId="1" fontId="5" fillId="0" borderId="11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28" xfId="0" applyBorder="1"/>
    <xf numFmtId="0" fontId="3" fillId="0" borderId="28" xfId="0" applyFont="1" applyBorder="1"/>
    <xf numFmtId="0" fontId="0" fillId="0" borderId="3" xfId="0" applyBorder="1"/>
    <xf numFmtId="0" fontId="3" fillId="0" borderId="28" xfId="0" applyFont="1" applyBorder="1" applyProtection="1">
      <protection locked="0"/>
    </xf>
    <xf numFmtId="0" fontId="3" fillId="0" borderId="29" xfId="0" applyFont="1" applyBorder="1"/>
    <xf numFmtId="0" fontId="0" fillId="0" borderId="30" xfId="0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1" xfId="0" applyFont="1" applyBorder="1"/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0" fillId="0" borderId="0" xfId="0" applyBorder="1" applyAlignment="1"/>
    <xf numFmtId="0" fontId="3" fillId="0" borderId="0" xfId="0" applyFont="1" applyBorder="1" applyAlignment="1"/>
    <xf numFmtId="2" fontId="7" fillId="0" borderId="14" xfId="0" applyNumberFormat="1" applyFont="1" applyBorder="1" applyAlignment="1">
      <alignment horizontal="center"/>
    </xf>
    <xf numFmtId="0" fontId="3" fillId="0" borderId="32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6" fillId="0" borderId="4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N43"/>
  <sheetViews>
    <sheetView zoomScaleNormal="100" workbookViewId="0">
      <selection activeCell="I1" sqref="I1"/>
    </sheetView>
  </sheetViews>
  <sheetFormatPr defaultColWidth="8.88671875" defaultRowHeight="14.4" x14ac:dyDescent="0.3"/>
  <cols>
    <col min="1" max="1" width="12" customWidth="1"/>
    <col min="2" max="2" width="11.5546875" customWidth="1"/>
    <col min="3" max="3" width="7.109375" bestFit="1" customWidth="1"/>
    <col min="4" max="4" width="28.33203125" customWidth="1"/>
    <col min="5" max="5" width="9.77734375" style="4" bestFit="1" customWidth="1"/>
    <col min="6" max="6" width="8.33203125" style="4" bestFit="1" customWidth="1"/>
    <col min="7" max="7" width="8" customWidth="1"/>
    <col min="8" max="8" width="6.77734375" bestFit="1" customWidth="1"/>
    <col min="9" max="9" width="12.109375" customWidth="1"/>
    <col min="10" max="10" width="9.33203125" bestFit="1" customWidth="1"/>
  </cols>
  <sheetData>
    <row r="1" spans="1:14" ht="28.95" customHeight="1" x14ac:dyDescent="0.3">
      <c r="A1" t="s">
        <v>0</v>
      </c>
      <c r="B1" s="118" t="s">
        <v>59</v>
      </c>
      <c r="C1" s="119"/>
      <c r="D1" s="120"/>
      <c r="E1" s="4" t="s">
        <v>25</v>
      </c>
      <c r="F1" s="3"/>
      <c r="H1" s="112" t="s">
        <v>44</v>
      </c>
      <c r="I1" s="2">
        <v>45784</v>
      </c>
    </row>
    <row r="2" spans="1:14" ht="15" thickBot="1" x14ac:dyDescent="0.35">
      <c r="B2" s="1" t="s">
        <v>42</v>
      </c>
    </row>
    <row r="3" spans="1:14" s="5" customFormat="1" ht="29.4" thickBot="1" x14ac:dyDescent="0.35">
      <c r="A3" s="85" t="s">
        <v>1</v>
      </c>
      <c r="B3" s="86" t="s">
        <v>2</v>
      </c>
      <c r="C3" s="86" t="s">
        <v>18</v>
      </c>
      <c r="D3" s="86" t="s">
        <v>3</v>
      </c>
      <c r="E3" s="87" t="s">
        <v>19</v>
      </c>
      <c r="F3" s="87" t="s">
        <v>4</v>
      </c>
      <c r="G3" s="88" t="s">
        <v>5</v>
      </c>
      <c r="H3" s="86" t="s">
        <v>6</v>
      </c>
      <c r="I3" s="86" t="s">
        <v>7</v>
      </c>
      <c r="J3" s="89" t="s">
        <v>8</v>
      </c>
    </row>
    <row r="4" spans="1:14" ht="15.6" x14ac:dyDescent="0.3">
      <c r="A4" s="20" t="s">
        <v>9</v>
      </c>
      <c r="B4" s="48" t="s">
        <v>10</v>
      </c>
      <c r="C4" s="22">
        <v>14</v>
      </c>
      <c r="D4" s="23" t="s">
        <v>31</v>
      </c>
      <c r="E4" s="24" t="s">
        <v>41</v>
      </c>
      <c r="F4" s="25">
        <v>36.630000000000003</v>
      </c>
      <c r="G4" s="52">
        <v>211</v>
      </c>
      <c r="H4" s="52">
        <v>16.059999999999999</v>
      </c>
      <c r="I4" s="52">
        <v>10.5</v>
      </c>
      <c r="J4" s="53">
        <v>10.25</v>
      </c>
      <c r="M4" s="95"/>
    </row>
    <row r="5" spans="1:14" ht="15.6" x14ac:dyDescent="0.3">
      <c r="A5" s="20"/>
      <c r="B5" s="21" t="s">
        <v>28</v>
      </c>
      <c r="C5" s="49">
        <v>64</v>
      </c>
      <c r="D5" s="50" t="s">
        <v>32</v>
      </c>
      <c r="E5" s="51">
        <v>150</v>
      </c>
      <c r="F5" s="25">
        <f>23.81*150/150</f>
        <v>23.81</v>
      </c>
      <c r="G5" s="52">
        <f>118*150/150</f>
        <v>118</v>
      </c>
      <c r="H5" s="52">
        <f>3.05*150/150</f>
        <v>3.05</v>
      </c>
      <c r="I5" s="52">
        <f>5.51*150/150</f>
        <v>5.51</v>
      </c>
      <c r="J5" s="53">
        <f>11.7*150/150</f>
        <v>11.7</v>
      </c>
    </row>
    <row r="6" spans="1:14" ht="15.6" x14ac:dyDescent="0.3">
      <c r="A6" s="20"/>
      <c r="B6" s="28" t="s">
        <v>29</v>
      </c>
      <c r="C6" s="22" t="s">
        <v>20</v>
      </c>
      <c r="D6" s="117" t="s">
        <v>51</v>
      </c>
      <c r="E6" s="51">
        <v>20</v>
      </c>
      <c r="F6" s="25">
        <f>179.51*0.02</f>
        <v>3.5901999999999998</v>
      </c>
      <c r="G6" s="26">
        <f>48*20/20</f>
        <v>48</v>
      </c>
      <c r="H6" s="26">
        <f>1.52*20/20</f>
        <v>1.52</v>
      </c>
      <c r="I6" s="26">
        <f>0.16*20/20</f>
        <v>0.16</v>
      </c>
      <c r="J6" s="27">
        <f>9.72*20/20</f>
        <v>9.7200000000000006</v>
      </c>
    </row>
    <row r="7" spans="1:14" ht="15.6" x14ac:dyDescent="0.3">
      <c r="A7" s="20"/>
      <c r="B7" s="29" t="s">
        <v>11</v>
      </c>
      <c r="C7" s="30">
        <v>57</v>
      </c>
      <c r="D7" s="31" t="s">
        <v>33</v>
      </c>
      <c r="E7" s="32">
        <v>200</v>
      </c>
      <c r="F7" s="33">
        <v>1.0900000000000001</v>
      </c>
      <c r="G7" s="69">
        <v>41</v>
      </c>
      <c r="H7" s="69">
        <v>0</v>
      </c>
      <c r="I7" s="69">
        <v>0</v>
      </c>
      <c r="J7" s="70">
        <v>10.01</v>
      </c>
    </row>
    <row r="8" spans="1:14" ht="15.6" x14ac:dyDescent="0.3">
      <c r="A8" s="20"/>
      <c r="B8" s="29" t="s">
        <v>16</v>
      </c>
      <c r="C8" s="30" t="s">
        <v>20</v>
      </c>
      <c r="D8" s="31" t="s">
        <v>21</v>
      </c>
      <c r="E8" s="32">
        <v>20</v>
      </c>
      <c r="F8" s="33">
        <f>57.54*0.02</f>
        <v>1.1508</v>
      </c>
      <c r="G8" s="26">
        <f>42*20/20</f>
        <v>42</v>
      </c>
      <c r="H8" s="26">
        <f>0.98*20/20</f>
        <v>0.98000000000000009</v>
      </c>
      <c r="I8" s="26">
        <f>0.2*20/20</f>
        <v>0.2</v>
      </c>
      <c r="J8" s="27">
        <f>8.96*20/20</f>
        <v>8.9600000000000009</v>
      </c>
      <c r="N8" s="92"/>
    </row>
    <row r="9" spans="1:14" ht="15.6" x14ac:dyDescent="0.3">
      <c r="A9" s="20"/>
      <c r="B9" s="34" t="s">
        <v>17</v>
      </c>
      <c r="C9" s="30" t="s">
        <v>20</v>
      </c>
      <c r="D9" s="31" t="s">
        <v>24</v>
      </c>
      <c r="E9" s="32">
        <v>20</v>
      </c>
      <c r="F9" s="33">
        <f>78.6*0.02</f>
        <v>1.5719999999999998</v>
      </c>
      <c r="G9" s="26">
        <f>47*20/20</f>
        <v>47</v>
      </c>
      <c r="H9" s="26">
        <f>1.52*20/20</f>
        <v>1.52</v>
      </c>
      <c r="I9" s="26">
        <f>0.16*20/20</f>
        <v>0.16</v>
      </c>
      <c r="J9" s="27">
        <f>9.84*20/20</f>
        <v>9.84</v>
      </c>
      <c r="N9" s="92"/>
    </row>
    <row r="10" spans="1:14" ht="16.2" thickBot="1" x14ac:dyDescent="0.35">
      <c r="A10" s="35"/>
      <c r="B10" s="36"/>
      <c r="C10" s="37"/>
      <c r="D10" s="38"/>
      <c r="E10" s="39"/>
      <c r="F10" s="40">
        <v>64.52</v>
      </c>
      <c r="G10" s="41">
        <f>SUM(G4:G9)</f>
        <v>507</v>
      </c>
      <c r="H10" s="41">
        <f>SUM(H4:H9)</f>
        <v>23.13</v>
      </c>
      <c r="I10" s="41">
        <f>SUM(I4:I9)</f>
        <v>16.529999999999998</v>
      </c>
      <c r="J10" s="42">
        <f>SUM(J4:J9)</f>
        <v>60.480000000000004</v>
      </c>
    </row>
    <row r="11" spans="1:14" ht="15.6" x14ac:dyDescent="0.3">
      <c r="A11" s="16" t="s">
        <v>22</v>
      </c>
      <c r="B11" s="17" t="s">
        <v>23</v>
      </c>
      <c r="C11" s="43">
        <v>63</v>
      </c>
      <c r="D11" s="44" t="s">
        <v>34</v>
      </c>
      <c r="E11" s="45">
        <v>200</v>
      </c>
      <c r="F11" s="19">
        <v>19.72</v>
      </c>
      <c r="G11" s="46">
        <v>118</v>
      </c>
      <c r="H11" s="46">
        <v>5.6</v>
      </c>
      <c r="I11" s="46">
        <v>6.4</v>
      </c>
      <c r="J11" s="47">
        <v>8.1999999999999993</v>
      </c>
    </row>
    <row r="12" spans="1:14" ht="15.6" x14ac:dyDescent="0.3">
      <c r="A12" s="20"/>
      <c r="B12" s="48" t="s">
        <v>29</v>
      </c>
      <c r="C12" s="62" t="s">
        <v>20</v>
      </c>
      <c r="D12" s="63" t="s">
        <v>35</v>
      </c>
      <c r="E12" s="32">
        <v>141</v>
      </c>
      <c r="F12" s="33">
        <v>23.59</v>
      </c>
      <c r="G12" s="26">
        <f>47*141/100</f>
        <v>66.27</v>
      </c>
      <c r="H12" s="26">
        <f>0.4*141/100</f>
        <v>0.56400000000000006</v>
      </c>
      <c r="I12" s="26">
        <f>0.4*141/100</f>
        <v>0.56400000000000006</v>
      </c>
      <c r="J12" s="27">
        <f>9.8*141/100</f>
        <v>13.818000000000001</v>
      </c>
    </row>
    <row r="13" spans="1:14" ht="15.6" x14ac:dyDescent="0.3">
      <c r="A13" s="20"/>
      <c r="B13" s="93" t="s">
        <v>17</v>
      </c>
      <c r="C13" s="65" t="s">
        <v>20</v>
      </c>
      <c r="D13" s="66" t="s">
        <v>39</v>
      </c>
      <c r="E13" s="94">
        <v>50</v>
      </c>
      <c r="F13" s="68">
        <f>101.5*0.05</f>
        <v>5.0750000000000002</v>
      </c>
      <c r="G13" s="69">
        <v>131</v>
      </c>
      <c r="H13" s="69">
        <v>3.75</v>
      </c>
      <c r="I13" s="69">
        <v>1.45</v>
      </c>
      <c r="J13" s="70">
        <v>25.7</v>
      </c>
    </row>
    <row r="14" spans="1:14" ht="16.2" thickBot="1" x14ac:dyDescent="0.35">
      <c r="A14" s="54"/>
      <c r="B14" s="55"/>
      <c r="C14" s="56"/>
      <c r="D14" s="57"/>
      <c r="E14" s="58"/>
      <c r="F14" s="59">
        <f>SUM(F11:F13)</f>
        <v>48.385000000000005</v>
      </c>
      <c r="G14" s="60">
        <f>SUM(G11:G13)</f>
        <v>315.27</v>
      </c>
      <c r="H14" s="60">
        <f>SUM(H11:H13)</f>
        <v>9.9139999999999997</v>
      </c>
      <c r="I14" s="60">
        <f>SUM(I11:I13)</f>
        <v>8.4139999999999997</v>
      </c>
      <c r="J14" s="61">
        <f>SUM(J11:J13)</f>
        <v>47.718000000000004</v>
      </c>
    </row>
    <row r="15" spans="1:14" ht="43.2" x14ac:dyDescent="0.3">
      <c r="A15" s="16" t="s">
        <v>12</v>
      </c>
      <c r="B15" s="17" t="s">
        <v>13</v>
      </c>
      <c r="C15" s="43">
        <v>4</v>
      </c>
      <c r="D15" s="44" t="s">
        <v>46</v>
      </c>
      <c r="E15" s="18" t="s">
        <v>45</v>
      </c>
      <c r="F15" s="19">
        <f>24.71*60/60</f>
        <v>24.71</v>
      </c>
      <c r="G15" s="46">
        <f>8</f>
        <v>8</v>
      </c>
      <c r="H15" s="46">
        <f>0.48</f>
        <v>0.48</v>
      </c>
      <c r="I15" s="46">
        <f>0.06</f>
        <v>0.06</v>
      </c>
      <c r="J15" s="47">
        <f>1.02</f>
        <v>1.02</v>
      </c>
    </row>
    <row r="16" spans="1:14" ht="28.8" x14ac:dyDescent="0.3">
      <c r="A16" s="20"/>
      <c r="B16" s="29" t="s">
        <v>14</v>
      </c>
      <c r="C16" s="62">
        <v>33</v>
      </c>
      <c r="D16" s="63" t="s">
        <v>53</v>
      </c>
      <c r="E16" s="64" t="s">
        <v>52</v>
      </c>
      <c r="F16" s="33">
        <f>12.65*245/245+1.92+5.88*0</f>
        <v>14.57</v>
      </c>
      <c r="G16" s="26">
        <v>100</v>
      </c>
      <c r="H16" s="26">
        <v>1.82</v>
      </c>
      <c r="I16" s="26">
        <v>6.18</v>
      </c>
      <c r="J16" s="27">
        <v>7.73</v>
      </c>
      <c r="M16" s="92"/>
    </row>
    <row r="17" spans="1:10" ht="15.6" x14ac:dyDescent="0.3">
      <c r="A17" s="20"/>
      <c r="B17" s="29" t="s">
        <v>15</v>
      </c>
      <c r="C17" s="62">
        <v>21</v>
      </c>
      <c r="D17" s="63" t="s">
        <v>38</v>
      </c>
      <c r="E17" s="64" t="s">
        <v>49</v>
      </c>
      <c r="F17" s="33">
        <f>59.43/81*48+12.32/159*192</f>
        <v>50.094758909853255</v>
      </c>
      <c r="G17" s="26">
        <v>437</v>
      </c>
      <c r="H17" s="26">
        <v>20.55</v>
      </c>
      <c r="I17" s="26">
        <v>22.38</v>
      </c>
      <c r="J17" s="27">
        <v>38.76</v>
      </c>
    </row>
    <row r="18" spans="1:10" ht="15.6" x14ac:dyDescent="0.3">
      <c r="A18" s="20"/>
      <c r="B18" s="29" t="s">
        <v>23</v>
      </c>
      <c r="C18" s="62">
        <v>17</v>
      </c>
      <c r="D18" s="63" t="s">
        <v>36</v>
      </c>
      <c r="E18" s="64" t="s">
        <v>37</v>
      </c>
      <c r="F18" s="33">
        <v>3.19</v>
      </c>
      <c r="G18" s="26">
        <v>80</v>
      </c>
      <c r="H18" s="26">
        <v>0.44</v>
      </c>
      <c r="I18" s="26">
        <v>0</v>
      </c>
      <c r="J18" s="27">
        <v>18.899999999999999</v>
      </c>
    </row>
    <row r="19" spans="1:10" ht="15.6" x14ac:dyDescent="0.3">
      <c r="A19" s="20"/>
      <c r="B19" s="29" t="s">
        <v>16</v>
      </c>
      <c r="C19" s="62" t="s">
        <v>20</v>
      </c>
      <c r="D19" s="31" t="s">
        <v>21</v>
      </c>
      <c r="E19" s="64" t="s">
        <v>57</v>
      </c>
      <c r="F19" s="33">
        <f>57.54*0.031</f>
        <v>1.7837399999999999</v>
      </c>
      <c r="G19" s="26">
        <f>63*31/30</f>
        <v>65.099999999999994</v>
      </c>
      <c r="H19" s="26">
        <f>1.47*31/30</f>
        <v>1.5189999999999999</v>
      </c>
      <c r="I19" s="26">
        <f>0.3*31/30</f>
        <v>0.30999999999999994</v>
      </c>
      <c r="J19" s="27">
        <f>13.44*31/30</f>
        <v>13.888</v>
      </c>
    </row>
    <row r="20" spans="1:10" ht="15.6" x14ac:dyDescent="0.3">
      <c r="A20" s="20"/>
      <c r="B20" s="34" t="s">
        <v>17</v>
      </c>
      <c r="C20" s="65" t="s">
        <v>20</v>
      </c>
      <c r="D20" s="31" t="s">
        <v>24</v>
      </c>
      <c r="E20" s="67" t="s">
        <v>57</v>
      </c>
      <c r="F20" s="33">
        <f>78.6*0.031</f>
        <v>2.4365999999999999</v>
      </c>
      <c r="G20" s="69">
        <f>70.5*31/30</f>
        <v>72.849999999999994</v>
      </c>
      <c r="H20" s="69">
        <f>2.28*31/30</f>
        <v>2.3559999999999999</v>
      </c>
      <c r="I20" s="69">
        <f>0.24*31/30</f>
        <v>0.24799999999999997</v>
      </c>
      <c r="J20" s="70">
        <f>14.76*31/30</f>
        <v>15.252000000000001</v>
      </c>
    </row>
    <row r="21" spans="1:10" ht="16.2" thickBot="1" x14ac:dyDescent="0.35">
      <c r="A21" s="71"/>
      <c r="B21" s="55"/>
      <c r="C21" s="72"/>
      <c r="D21" s="72"/>
      <c r="E21" s="74"/>
      <c r="F21" s="74">
        <f>SUM(F15:F20)</f>
        <v>96.785098909853247</v>
      </c>
      <c r="G21" s="75">
        <f>SUM(G15:G20)</f>
        <v>762.95</v>
      </c>
      <c r="H21" s="75">
        <f>SUM(H15:H20)</f>
        <v>27.164999999999999</v>
      </c>
      <c r="I21" s="75">
        <f>SUM(I15:I20)</f>
        <v>29.177999999999997</v>
      </c>
      <c r="J21" s="76">
        <f>SUM(J15:J20)</f>
        <v>95.55</v>
      </c>
    </row>
    <row r="22" spans="1:10" ht="16.2" thickBot="1" x14ac:dyDescent="0.35">
      <c r="B22" s="1" t="s">
        <v>43</v>
      </c>
      <c r="E22" s="11"/>
      <c r="F22" s="11"/>
    </row>
    <row r="23" spans="1:10" ht="29.4" thickBot="1" x14ac:dyDescent="0.35">
      <c r="A23" s="85" t="s">
        <v>1</v>
      </c>
      <c r="B23" s="86" t="s">
        <v>2</v>
      </c>
      <c r="C23" s="86" t="s">
        <v>18</v>
      </c>
      <c r="D23" s="86" t="s">
        <v>3</v>
      </c>
      <c r="E23" s="87" t="s">
        <v>19</v>
      </c>
      <c r="F23" s="87" t="s">
        <v>4</v>
      </c>
      <c r="G23" s="88" t="s">
        <v>5</v>
      </c>
      <c r="H23" s="86" t="s">
        <v>6</v>
      </c>
      <c r="I23" s="86" t="s">
        <v>7</v>
      </c>
      <c r="J23" s="89" t="s">
        <v>8</v>
      </c>
    </row>
    <row r="24" spans="1:10" ht="15.6" x14ac:dyDescent="0.3">
      <c r="A24" s="20" t="s">
        <v>9</v>
      </c>
      <c r="B24" s="48" t="s">
        <v>10</v>
      </c>
      <c r="C24" s="22">
        <v>14</v>
      </c>
      <c r="D24" s="23" t="s">
        <v>31</v>
      </c>
      <c r="E24" s="24" t="s">
        <v>40</v>
      </c>
      <c r="F24" s="25">
        <v>41.64</v>
      </c>
      <c r="G24" s="90">
        <v>234.44</v>
      </c>
      <c r="H24" s="90">
        <v>17.84</v>
      </c>
      <c r="I24" s="90">
        <v>11.67</v>
      </c>
      <c r="J24" s="91">
        <v>11.39</v>
      </c>
    </row>
    <row r="25" spans="1:10" ht="15.6" x14ac:dyDescent="0.3">
      <c r="A25" s="20"/>
      <c r="B25" s="21" t="s">
        <v>28</v>
      </c>
      <c r="C25" s="49">
        <v>64</v>
      </c>
      <c r="D25" s="50" t="s">
        <v>32</v>
      </c>
      <c r="E25" s="32">
        <v>180</v>
      </c>
      <c r="F25" s="33">
        <v>28.55</v>
      </c>
      <c r="G25" s="26">
        <f>141.6*180/180</f>
        <v>141.6</v>
      </c>
      <c r="H25" s="26">
        <f>3.66*180/180</f>
        <v>3.6600000000000006</v>
      </c>
      <c r="I25" s="26">
        <f>6.61*180/180</f>
        <v>6.6099999999999994</v>
      </c>
      <c r="J25" s="27">
        <f>14.04*180/180</f>
        <v>14.04</v>
      </c>
    </row>
    <row r="26" spans="1:10" ht="15.6" x14ac:dyDescent="0.3">
      <c r="A26" s="20"/>
      <c r="B26" s="28" t="s">
        <v>29</v>
      </c>
      <c r="C26" s="22" t="s">
        <v>20</v>
      </c>
      <c r="D26" s="117" t="s">
        <v>51</v>
      </c>
      <c r="E26" s="51">
        <v>20</v>
      </c>
      <c r="F26" s="25">
        <f>179.51*0.02</f>
        <v>3.5901999999999998</v>
      </c>
      <c r="G26" s="26">
        <f>48*20/20</f>
        <v>48</v>
      </c>
      <c r="H26" s="26">
        <f>1.52*20/20</f>
        <v>1.52</v>
      </c>
      <c r="I26" s="26">
        <f>0.16*20/20</f>
        <v>0.16</v>
      </c>
      <c r="J26" s="27">
        <f>9.72*20/20</f>
        <v>9.7200000000000006</v>
      </c>
    </row>
    <row r="27" spans="1:10" ht="15.6" x14ac:dyDescent="0.3">
      <c r="A27" s="20"/>
      <c r="B27" s="29" t="s">
        <v>11</v>
      </c>
      <c r="C27" s="30">
        <v>57</v>
      </c>
      <c r="D27" s="31" t="s">
        <v>33</v>
      </c>
      <c r="E27" s="32">
        <v>200</v>
      </c>
      <c r="F27" s="33">
        <v>1.0900000000000001</v>
      </c>
      <c r="G27" s="69">
        <v>41</v>
      </c>
      <c r="H27" s="69">
        <v>0</v>
      </c>
      <c r="I27" s="69">
        <v>0</v>
      </c>
      <c r="J27" s="70">
        <v>10.01</v>
      </c>
    </row>
    <row r="28" spans="1:10" ht="15.6" x14ac:dyDescent="0.3">
      <c r="A28" s="20"/>
      <c r="B28" s="29" t="s">
        <v>16</v>
      </c>
      <c r="C28" s="30" t="s">
        <v>20</v>
      </c>
      <c r="D28" s="31" t="s">
        <v>21</v>
      </c>
      <c r="E28" s="32">
        <v>30</v>
      </c>
      <c r="F28" s="33">
        <f>57.54*0.03</f>
        <v>1.7262</v>
      </c>
      <c r="G28" s="26">
        <f>63*30/30</f>
        <v>63</v>
      </c>
      <c r="H28" s="26">
        <f>1.47*30/30</f>
        <v>1.47</v>
      </c>
      <c r="I28" s="26">
        <f>0.3*30/30</f>
        <v>0.3</v>
      </c>
      <c r="J28" s="27">
        <f>13.44*30/30</f>
        <v>13.44</v>
      </c>
    </row>
    <row r="29" spans="1:10" ht="15.6" x14ac:dyDescent="0.3">
      <c r="A29" s="20"/>
      <c r="B29" s="34" t="s">
        <v>17</v>
      </c>
      <c r="C29" s="30" t="s">
        <v>20</v>
      </c>
      <c r="D29" s="31" t="s">
        <v>24</v>
      </c>
      <c r="E29" s="32">
        <v>30</v>
      </c>
      <c r="F29" s="33">
        <f>78.6*0.03</f>
        <v>2.3579999999999997</v>
      </c>
      <c r="G29" s="26">
        <f>70.5*30/30</f>
        <v>70.5</v>
      </c>
      <c r="H29" s="26">
        <f>2.28*30/30</f>
        <v>2.2799999999999998</v>
      </c>
      <c r="I29" s="26">
        <f>0.24*30/30</f>
        <v>0.23999999999999996</v>
      </c>
      <c r="J29" s="27">
        <f>14.76*30/30</f>
        <v>14.76</v>
      </c>
    </row>
    <row r="30" spans="1:10" ht="16.2" thickBot="1" x14ac:dyDescent="0.35">
      <c r="A30" s="35"/>
      <c r="B30" s="36"/>
      <c r="C30" s="37"/>
      <c r="D30" s="38"/>
      <c r="E30" s="39"/>
      <c r="F30" s="40">
        <v>75.02</v>
      </c>
      <c r="G30" s="41">
        <f>SUM(G24:G29)</f>
        <v>598.54</v>
      </c>
      <c r="H30" s="41">
        <f>SUM(H24:H29)</f>
        <v>26.77</v>
      </c>
      <c r="I30" s="41">
        <f>SUM(I24:I29)</f>
        <v>18.98</v>
      </c>
      <c r="J30" s="42">
        <f>SUM(J24:J29)</f>
        <v>73.36</v>
      </c>
    </row>
    <row r="31" spans="1:10" ht="15.6" x14ac:dyDescent="0.3">
      <c r="A31" s="16" t="s">
        <v>22</v>
      </c>
      <c r="B31" s="17" t="s">
        <v>23</v>
      </c>
      <c r="C31" s="43">
        <v>63</v>
      </c>
      <c r="D31" s="44" t="s">
        <v>34</v>
      </c>
      <c r="E31" s="45">
        <v>200</v>
      </c>
      <c r="F31" s="19">
        <v>19.72</v>
      </c>
      <c r="G31" s="46">
        <v>118</v>
      </c>
      <c r="H31" s="46">
        <v>5.6</v>
      </c>
      <c r="I31" s="46">
        <v>6.4</v>
      </c>
      <c r="J31" s="47">
        <v>8.1999999999999993</v>
      </c>
    </row>
    <row r="32" spans="1:10" ht="15.6" x14ac:dyDescent="0.3">
      <c r="A32" s="20"/>
      <c r="B32" s="48" t="s">
        <v>29</v>
      </c>
      <c r="C32" s="62" t="s">
        <v>20</v>
      </c>
      <c r="D32" s="63" t="s">
        <v>35</v>
      </c>
      <c r="E32" s="32">
        <v>170</v>
      </c>
      <c r="F32" s="33">
        <v>28.42</v>
      </c>
      <c r="G32" s="26">
        <f>47*184/100</f>
        <v>86.48</v>
      </c>
      <c r="H32" s="26">
        <f>0.4*184/100</f>
        <v>0.7360000000000001</v>
      </c>
      <c r="I32" s="26">
        <f>0.4*184/100</f>
        <v>0.7360000000000001</v>
      </c>
      <c r="J32" s="27">
        <f>9.8*184/100</f>
        <v>18.032</v>
      </c>
    </row>
    <row r="33" spans="1:10" ht="15.6" x14ac:dyDescent="0.3">
      <c r="A33" s="20"/>
      <c r="B33" s="93" t="s">
        <v>17</v>
      </c>
      <c r="C33" s="65" t="s">
        <v>20</v>
      </c>
      <c r="D33" s="66" t="s">
        <v>39</v>
      </c>
      <c r="E33" s="94">
        <v>80</v>
      </c>
      <c r="F33" s="68">
        <f>101.5*0.08</f>
        <v>8.120000000000001</v>
      </c>
      <c r="G33" s="69">
        <f>131*80/50</f>
        <v>209.6</v>
      </c>
      <c r="H33" s="69">
        <f>3.75*80/50</f>
        <v>6</v>
      </c>
      <c r="I33" s="69">
        <f>1.45*80/50</f>
        <v>2.3199999999999998</v>
      </c>
      <c r="J33" s="70">
        <f>25.7*80/50</f>
        <v>41.12</v>
      </c>
    </row>
    <row r="34" spans="1:10" ht="16.2" thickBot="1" x14ac:dyDescent="0.35">
      <c r="A34" s="54"/>
      <c r="B34" s="55"/>
      <c r="C34" s="56"/>
      <c r="D34" s="57"/>
      <c r="E34" s="58"/>
      <c r="F34" s="59">
        <f>SUM(F31:F33)</f>
        <v>56.260000000000005</v>
      </c>
      <c r="G34" s="60">
        <f>SUM(G31:G33)</f>
        <v>414.08000000000004</v>
      </c>
      <c r="H34" s="60">
        <f>SUM(H31:H33)</f>
        <v>12.335999999999999</v>
      </c>
      <c r="I34" s="60">
        <f>SUM(I31:I33)</f>
        <v>9.4559999999999995</v>
      </c>
      <c r="J34" s="61">
        <f>SUM(J31:J33)</f>
        <v>67.352000000000004</v>
      </c>
    </row>
    <row r="35" spans="1:10" ht="43.2" x14ac:dyDescent="0.3">
      <c r="A35" s="16" t="s">
        <v>12</v>
      </c>
      <c r="B35" s="17" t="s">
        <v>13</v>
      </c>
      <c r="C35" s="43">
        <v>4</v>
      </c>
      <c r="D35" s="44" t="s">
        <v>46</v>
      </c>
      <c r="E35" s="18" t="s">
        <v>40</v>
      </c>
      <c r="F35" s="19">
        <v>41.19</v>
      </c>
      <c r="G35" s="46">
        <f>13</f>
        <v>13</v>
      </c>
      <c r="H35" s="46">
        <f>0.8</f>
        <v>0.8</v>
      </c>
      <c r="I35" s="46">
        <f>0.1</f>
        <v>0.1</v>
      </c>
      <c r="J35" s="47">
        <f>1.7</f>
        <v>1.7</v>
      </c>
    </row>
    <row r="36" spans="1:10" ht="28.8" x14ac:dyDescent="0.3">
      <c r="A36" s="20"/>
      <c r="B36" s="29" t="s">
        <v>14</v>
      </c>
      <c r="C36" s="62">
        <v>33</v>
      </c>
      <c r="D36" s="63" t="s">
        <v>53</v>
      </c>
      <c r="E36" s="64" t="s">
        <v>52</v>
      </c>
      <c r="F36" s="33">
        <f>12.65*245/245+1.92+5.88*0</f>
        <v>14.57</v>
      </c>
      <c r="G36" s="26">
        <v>100</v>
      </c>
      <c r="H36" s="26">
        <v>1.82</v>
      </c>
      <c r="I36" s="26">
        <v>6.18</v>
      </c>
      <c r="J36" s="27">
        <v>7.73</v>
      </c>
    </row>
    <row r="37" spans="1:10" ht="15.6" x14ac:dyDescent="0.3">
      <c r="A37" s="20"/>
      <c r="B37" s="29" t="s">
        <v>15</v>
      </c>
      <c r="C37" s="62">
        <v>21</v>
      </c>
      <c r="D37" s="63" t="s">
        <v>38</v>
      </c>
      <c r="E37" s="64" t="s">
        <v>50</v>
      </c>
      <c r="F37" s="33">
        <f>69.42/95*48+14.47/185*232</f>
        <v>53.221530583214793</v>
      </c>
      <c r="G37" s="26">
        <v>509.83</v>
      </c>
      <c r="H37" s="26">
        <v>23.98</v>
      </c>
      <c r="I37" s="26">
        <v>26.11</v>
      </c>
      <c r="J37" s="27">
        <v>45.22</v>
      </c>
    </row>
    <row r="38" spans="1:10" ht="15.6" x14ac:dyDescent="0.3">
      <c r="A38" s="20"/>
      <c r="B38" s="29" t="s">
        <v>23</v>
      </c>
      <c r="C38" s="62">
        <v>17</v>
      </c>
      <c r="D38" s="63" t="s">
        <v>36</v>
      </c>
      <c r="E38" s="64" t="s">
        <v>37</v>
      </c>
      <c r="F38" s="33">
        <v>3.19</v>
      </c>
      <c r="G38" s="26">
        <v>80</v>
      </c>
      <c r="H38" s="26">
        <v>0.44</v>
      </c>
      <c r="I38" s="26">
        <v>0</v>
      </c>
      <c r="J38" s="27">
        <v>18.899999999999999</v>
      </c>
    </row>
    <row r="39" spans="1:10" ht="15.6" x14ac:dyDescent="0.3">
      <c r="A39" s="20"/>
      <c r="B39" s="29" t="s">
        <v>16</v>
      </c>
      <c r="C39" s="62" t="s">
        <v>20</v>
      </c>
      <c r="D39" s="31" t="s">
        <v>21</v>
      </c>
      <c r="E39" s="64" t="s">
        <v>58</v>
      </c>
      <c r="F39" s="33">
        <f>57.54*0.035</f>
        <v>2.0139</v>
      </c>
      <c r="G39" s="26">
        <f>63*35/30</f>
        <v>73.5</v>
      </c>
      <c r="H39" s="26">
        <f>1.47*35/30</f>
        <v>1.7149999999999999</v>
      </c>
      <c r="I39" s="26">
        <f>0.3*35/30</f>
        <v>0.35</v>
      </c>
      <c r="J39" s="27">
        <f>13.44*35/30</f>
        <v>15.68</v>
      </c>
    </row>
    <row r="40" spans="1:10" ht="15.6" x14ac:dyDescent="0.3">
      <c r="A40" s="20"/>
      <c r="B40" s="34" t="s">
        <v>17</v>
      </c>
      <c r="C40" s="65" t="s">
        <v>20</v>
      </c>
      <c r="D40" s="31" t="s">
        <v>24</v>
      </c>
      <c r="E40" s="67" t="s">
        <v>58</v>
      </c>
      <c r="F40" s="33">
        <f>78.6*0.035</f>
        <v>2.7509999999999999</v>
      </c>
      <c r="G40" s="69">
        <f>70.5*35/30</f>
        <v>82.25</v>
      </c>
      <c r="H40" s="69">
        <f>2.28*35/30</f>
        <v>2.6599999999999997</v>
      </c>
      <c r="I40" s="69">
        <f>0.24*35/30</f>
        <v>0.28000000000000003</v>
      </c>
      <c r="J40" s="70">
        <f>14.76*35/30</f>
        <v>17.220000000000002</v>
      </c>
    </row>
    <row r="41" spans="1:10" ht="16.2" thickBot="1" x14ac:dyDescent="0.35">
      <c r="A41" s="71"/>
      <c r="B41" s="55"/>
      <c r="C41" s="72"/>
      <c r="D41" s="72"/>
      <c r="E41" s="73"/>
      <c r="F41" s="74">
        <v>112.52</v>
      </c>
      <c r="G41" s="75">
        <f>SUM(G35:G40)</f>
        <v>858.57999999999993</v>
      </c>
      <c r="H41" s="75">
        <f>SUM(H35:H40)</f>
        <v>31.415000000000003</v>
      </c>
      <c r="I41" s="75">
        <f>SUM(I35:I40)</f>
        <v>33.020000000000003</v>
      </c>
      <c r="J41" s="76">
        <f>SUM(J35:J40)</f>
        <v>106.44999999999999</v>
      </c>
    </row>
    <row r="42" spans="1:10" ht="21" customHeight="1" x14ac:dyDescent="0.3">
      <c r="A42" s="15" t="s">
        <v>48</v>
      </c>
    </row>
    <row r="43" spans="1:10" ht="21" customHeight="1" x14ac:dyDescent="0.3">
      <c r="A43" s="6" t="s">
        <v>27</v>
      </c>
    </row>
  </sheetData>
  <mergeCells count="1">
    <mergeCell ref="B1:D1"/>
  </mergeCells>
  <pageMargins left="0.31496062992125984" right="0.31496062992125984" top="0.31496062992125984" bottom="0.31496062992125984" header="0" footer="0"/>
  <pageSetup paperSize="9" scale="90" fitToHeight="0" orientation="portrait" horizontalDpi="4294967295" verticalDpi="4294967295" r:id="rId1"/>
  <ignoredErrors>
    <ignoredError sqref="G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tabSelected="1" zoomScaleNormal="100" workbookViewId="0">
      <selection activeCell="I1" sqref="I1"/>
    </sheetView>
  </sheetViews>
  <sheetFormatPr defaultColWidth="8.88671875" defaultRowHeight="14.4" x14ac:dyDescent="0.3"/>
  <cols>
    <col min="1" max="1" width="12.109375" style="7" customWidth="1"/>
    <col min="2" max="2" width="11.5546875" style="7" customWidth="1"/>
    <col min="3" max="3" width="7.109375" style="7" bestFit="1" customWidth="1"/>
    <col min="4" max="4" width="38.44140625" style="7" customWidth="1"/>
    <col min="5" max="5" width="10.33203125" style="8" customWidth="1"/>
    <col min="6" max="6" width="8.21875" style="8" bestFit="1" customWidth="1"/>
    <col min="7" max="7" width="8.21875" style="7" customWidth="1"/>
    <col min="8" max="8" width="6.77734375" style="7" bestFit="1" customWidth="1"/>
    <col min="9" max="9" width="16.5546875" style="7" customWidth="1"/>
    <col min="10" max="10" width="9.33203125" style="7" bestFit="1" customWidth="1"/>
    <col min="11" max="16384" width="8.88671875" style="7"/>
  </cols>
  <sheetData>
    <row r="1" spans="1:10" ht="28.95" customHeight="1" x14ac:dyDescent="0.3">
      <c r="A1" s="7" t="s">
        <v>0</v>
      </c>
      <c r="B1" s="118" t="s">
        <v>59</v>
      </c>
      <c r="C1" s="119"/>
      <c r="D1" s="120"/>
      <c r="E1" s="8" t="s">
        <v>25</v>
      </c>
      <c r="F1" s="9"/>
      <c r="H1" s="113" t="s">
        <v>44</v>
      </c>
      <c r="I1" s="2">
        <v>45784</v>
      </c>
    </row>
    <row r="2" spans="1:10" ht="15" thickBot="1" x14ac:dyDescent="0.35">
      <c r="A2" s="12"/>
      <c r="B2" s="13" t="s">
        <v>26</v>
      </c>
      <c r="C2" s="12"/>
      <c r="D2" s="12"/>
      <c r="E2" s="14"/>
      <c r="F2" s="14"/>
      <c r="G2" s="12"/>
      <c r="H2" s="12"/>
      <c r="I2" s="12"/>
      <c r="J2" s="12"/>
    </row>
    <row r="3" spans="1:10" s="107" customFormat="1" ht="29.4" thickBot="1" x14ac:dyDescent="0.35">
      <c r="A3" s="108" t="s">
        <v>1</v>
      </c>
      <c r="B3" s="109" t="s">
        <v>2</v>
      </c>
      <c r="C3" s="109" t="s">
        <v>18</v>
      </c>
      <c r="D3" s="109" t="s">
        <v>3</v>
      </c>
      <c r="E3" s="109" t="s">
        <v>19</v>
      </c>
      <c r="F3" s="109" t="s">
        <v>4</v>
      </c>
      <c r="G3" s="111" t="s">
        <v>5</v>
      </c>
      <c r="H3" s="109" t="s">
        <v>6</v>
      </c>
      <c r="I3" s="109" t="s">
        <v>7</v>
      </c>
      <c r="J3" s="110" t="s">
        <v>8</v>
      </c>
    </row>
    <row r="4" spans="1:10" s="10" customFormat="1" ht="15.6" x14ac:dyDescent="0.3">
      <c r="A4" s="116" t="s">
        <v>9</v>
      </c>
      <c r="B4" s="96" t="s">
        <v>10</v>
      </c>
      <c r="C4" s="22">
        <v>14</v>
      </c>
      <c r="D4" s="23" t="s">
        <v>31</v>
      </c>
      <c r="E4" s="24" t="s">
        <v>41</v>
      </c>
      <c r="F4" s="25">
        <v>48.71</v>
      </c>
      <c r="G4" s="52">
        <v>211</v>
      </c>
      <c r="H4" s="52">
        <v>16.059999999999999</v>
      </c>
      <c r="I4" s="52">
        <v>10.5</v>
      </c>
      <c r="J4" s="53">
        <v>10.25</v>
      </c>
    </row>
    <row r="5" spans="1:10" s="10" customFormat="1" ht="15.6" x14ac:dyDescent="0.3">
      <c r="A5" s="115"/>
      <c r="B5" s="97" t="s">
        <v>28</v>
      </c>
      <c r="C5" s="49">
        <v>64</v>
      </c>
      <c r="D5" s="50" t="s">
        <v>32</v>
      </c>
      <c r="E5" s="51">
        <v>150</v>
      </c>
      <c r="F5" s="25">
        <f>31.66/150*150</f>
        <v>31.660000000000004</v>
      </c>
      <c r="G5" s="52">
        <f>118*150/150</f>
        <v>118</v>
      </c>
      <c r="H5" s="52">
        <f>3.05*150/150</f>
        <v>3.05</v>
      </c>
      <c r="I5" s="52">
        <f>5.51*150/150</f>
        <v>5.51</v>
      </c>
      <c r="J5" s="53">
        <f>11.7*150/150</f>
        <v>11.7</v>
      </c>
    </row>
    <row r="6" spans="1:10" ht="15.6" x14ac:dyDescent="0.3">
      <c r="A6" s="102"/>
      <c r="B6" s="98" t="s">
        <v>11</v>
      </c>
      <c r="C6" s="30">
        <v>57</v>
      </c>
      <c r="D6" s="31" t="s">
        <v>33</v>
      </c>
      <c r="E6" s="32">
        <v>200</v>
      </c>
      <c r="F6" s="33">
        <v>1.45</v>
      </c>
      <c r="G6" s="69">
        <v>41</v>
      </c>
      <c r="H6" s="69">
        <v>0</v>
      </c>
      <c r="I6" s="69">
        <v>0</v>
      </c>
      <c r="J6" s="70">
        <v>10.01</v>
      </c>
    </row>
    <row r="7" spans="1:10" ht="15.6" x14ac:dyDescent="0.3">
      <c r="A7" s="102"/>
      <c r="B7" s="98" t="s">
        <v>16</v>
      </c>
      <c r="C7" s="30" t="s">
        <v>20</v>
      </c>
      <c r="D7" s="31" t="s">
        <v>21</v>
      </c>
      <c r="E7" s="32">
        <v>25</v>
      </c>
      <c r="F7" s="33">
        <f>69.05*0.025</f>
        <v>1.7262500000000001</v>
      </c>
      <c r="G7" s="26">
        <f>42*25/20</f>
        <v>52.5</v>
      </c>
      <c r="H7" s="26">
        <f>0.98*25/20</f>
        <v>1.2250000000000001</v>
      </c>
      <c r="I7" s="26">
        <f>0.2*25/20</f>
        <v>0.25</v>
      </c>
      <c r="J7" s="27">
        <f>8.96*25/20</f>
        <v>11.200000000000001</v>
      </c>
    </row>
    <row r="8" spans="1:10" ht="15.6" x14ac:dyDescent="0.3">
      <c r="A8" s="103"/>
      <c r="B8" s="99" t="s">
        <v>17</v>
      </c>
      <c r="C8" s="30" t="s">
        <v>20</v>
      </c>
      <c r="D8" s="31" t="s">
        <v>24</v>
      </c>
      <c r="E8" s="32">
        <v>26</v>
      </c>
      <c r="F8" s="33">
        <f>94.32*0.026</f>
        <v>2.4523199999999998</v>
      </c>
      <c r="G8" s="26">
        <f>47*26/20</f>
        <v>61.1</v>
      </c>
      <c r="H8" s="26">
        <f>1.52*26/20</f>
        <v>1.9760000000000002</v>
      </c>
      <c r="I8" s="26">
        <f>0.16*26/20</f>
        <v>0.20800000000000002</v>
      </c>
      <c r="J8" s="27">
        <f>9.84*26/20</f>
        <v>12.792</v>
      </c>
    </row>
    <row r="9" spans="1:10" ht="16.2" thickBot="1" x14ac:dyDescent="0.35">
      <c r="A9" s="104"/>
      <c r="B9" s="100"/>
      <c r="C9" s="77"/>
      <c r="D9" s="78"/>
      <c r="E9" s="79"/>
      <c r="F9" s="80">
        <f>SUM(F4:F8)</f>
        <v>85.998570000000001</v>
      </c>
      <c r="G9" s="81">
        <f>SUM(G4:G7)</f>
        <v>422.5</v>
      </c>
      <c r="H9" s="81">
        <f>SUM(H4:H7)</f>
        <v>20.335000000000001</v>
      </c>
      <c r="I9" s="81">
        <f>SUM(I4:I7)</f>
        <v>16.259999999999998</v>
      </c>
      <c r="J9" s="82">
        <f>SUM(J4:J7)</f>
        <v>43.160000000000004</v>
      </c>
    </row>
    <row r="10" spans="1:10" ht="28.8" x14ac:dyDescent="0.3">
      <c r="A10" s="105"/>
      <c r="B10" s="101" t="s">
        <v>13</v>
      </c>
      <c r="C10" s="43">
        <v>4</v>
      </c>
      <c r="D10" s="44" t="s">
        <v>46</v>
      </c>
      <c r="E10" s="18" t="s">
        <v>54</v>
      </c>
      <c r="F10" s="19">
        <f>54.78*0.3</f>
        <v>16.434000000000001</v>
      </c>
      <c r="G10" s="46">
        <f>13/100*30</f>
        <v>3.9000000000000004</v>
      </c>
      <c r="H10" s="46">
        <f>0.8/100*30</f>
        <v>0.24</v>
      </c>
      <c r="I10" s="46">
        <f>0.1/100*30</f>
        <v>0.03</v>
      </c>
      <c r="J10" s="47">
        <f>1.7/100*30</f>
        <v>0.51</v>
      </c>
    </row>
    <row r="11" spans="1:10" ht="15.6" x14ac:dyDescent="0.3">
      <c r="A11" s="102"/>
      <c r="B11" s="98" t="s">
        <v>15</v>
      </c>
      <c r="C11" s="62">
        <v>21</v>
      </c>
      <c r="D11" s="63" t="s">
        <v>38</v>
      </c>
      <c r="E11" s="64" t="s">
        <v>49</v>
      </c>
      <c r="F11" s="33">
        <f>79.04/81*48+16.38/159*192</f>
        <v>66.61814116002796</v>
      </c>
      <c r="G11" s="26">
        <v>437</v>
      </c>
      <c r="H11" s="26">
        <v>20.55</v>
      </c>
      <c r="I11" s="26">
        <v>22.38</v>
      </c>
      <c r="J11" s="27">
        <v>38.76</v>
      </c>
    </row>
    <row r="12" spans="1:10" ht="15.6" x14ac:dyDescent="0.3">
      <c r="A12" s="102"/>
      <c r="B12" s="29" t="s">
        <v>23</v>
      </c>
      <c r="C12" s="62">
        <v>17</v>
      </c>
      <c r="D12" s="63" t="s">
        <v>36</v>
      </c>
      <c r="E12" s="64" t="s">
        <v>37</v>
      </c>
      <c r="F12" s="33">
        <v>4.24</v>
      </c>
      <c r="G12" s="26">
        <v>80</v>
      </c>
      <c r="H12" s="26">
        <v>0.44</v>
      </c>
      <c r="I12" s="26">
        <v>0</v>
      </c>
      <c r="J12" s="27">
        <v>18.899999999999999</v>
      </c>
    </row>
    <row r="13" spans="1:10" ht="15.6" x14ac:dyDescent="0.3">
      <c r="A13" s="103"/>
      <c r="B13" s="99" t="s">
        <v>17</v>
      </c>
      <c r="C13" s="30" t="s">
        <v>20</v>
      </c>
      <c r="D13" s="31" t="s">
        <v>24</v>
      </c>
      <c r="E13" s="32">
        <v>29</v>
      </c>
      <c r="F13" s="33">
        <v>2.71</v>
      </c>
      <c r="G13" s="26">
        <f>47*29/20</f>
        <v>68.150000000000006</v>
      </c>
      <c r="H13" s="26">
        <f>1.52*29/20</f>
        <v>2.2039999999999997</v>
      </c>
      <c r="I13" s="26">
        <f>0.16*29/20</f>
        <v>0.23199999999999998</v>
      </c>
      <c r="J13" s="27">
        <f>9.84*29/20</f>
        <v>14.268000000000001</v>
      </c>
    </row>
    <row r="14" spans="1:10" ht="16.2" thickBot="1" x14ac:dyDescent="0.35">
      <c r="A14" s="104"/>
      <c r="B14" s="100"/>
      <c r="C14" s="77"/>
      <c r="D14" s="78"/>
      <c r="E14" s="79"/>
      <c r="F14" s="114">
        <f>SUM(F10:F13)</f>
        <v>90.002141160027946</v>
      </c>
      <c r="G14" s="81">
        <f>SUM(G9:G13)</f>
        <v>1011.55</v>
      </c>
      <c r="H14" s="81">
        <f>SUM(H9:H13)</f>
        <v>43.768999999999998</v>
      </c>
      <c r="I14" s="81">
        <f>SUM(I9:I13)</f>
        <v>38.902000000000001</v>
      </c>
      <c r="J14" s="82">
        <f>SUM(J9:J13)</f>
        <v>115.59800000000001</v>
      </c>
    </row>
    <row r="15" spans="1:10" ht="28.8" x14ac:dyDescent="0.3">
      <c r="A15" s="105"/>
      <c r="B15" s="101" t="s">
        <v>13</v>
      </c>
      <c r="C15" s="43">
        <v>4</v>
      </c>
      <c r="D15" s="44" t="s">
        <v>46</v>
      </c>
      <c r="E15" s="18" t="s">
        <v>55</v>
      </c>
      <c r="F15" s="19">
        <f>54.78/100*55</f>
        <v>30.129000000000005</v>
      </c>
      <c r="G15" s="46">
        <f>13/100*55</f>
        <v>7.15</v>
      </c>
      <c r="H15" s="46">
        <f>0.8/100*55</f>
        <v>0.44</v>
      </c>
      <c r="I15" s="46">
        <f>0.1/100*55</f>
        <v>5.5E-2</v>
      </c>
      <c r="J15" s="47">
        <f>1.7/100*55</f>
        <v>0.93500000000000005</v>
      </c>
    </row>
    <row r="16" spans="1:10" ht="15.6" x14ac:dyDescent="0.3">
      <c r="A16" s="102"/>
      <c r="B16" s="98" t="s">
        <v>15</v>
      </c>
      <c r="C16" s="62">
        <v>21</v>
      </c>
      <c r="D16" s="63" t="s">
        <v>38</v>
      </c>
      <c r="E16" s="64" t="s">
        <v>50</v>
      </c>
      <c r="F16" s="33">
        <f>92.33/95*48+19.25/185*232</f>
        <v>70.791487908961585</v>
      </c>
      <c r="G16" s="26">
        <v>509.83</v>
      </c>
      <c r="H16" s="26">
        <v>23.98</v>
      </c>
      <c r="I16" s="26">
        <v>26.11</v>
      </c>
      <c r="J16" s="27">
        <v>45.22</v>
      </c>
    </row>
    <row r="17" spans="1:10" ht="15.6" x14ac:dyDescent="0.3">
      <c r="A17" s="102"/>
      <c r="B17" s="29" t="s">
        <v>23</v>
      </c>
      <c r="C17" s="62">
        <v>17</v>
      </c>
      <c r="D17" s="63" t="s">
        <v>36</v>
      </c>
      <c r="E17" s="64" t="s">
        <v>37</v>
      </c>
      <c r="F17" s="33">
        <v>4.24</v>
      </c>
      <c r="G17" s="26">
        <v>80</v>
      </c>
      <c r="H17" s="26">
        <v>0.44</v>
      </c>
      <c r="I17" s="26">
        <v>0</v>
      </c>
      <c r="J17" s="27">
        <v>18.899999999999999</v>
      </c>
    </row>
    <row r="18" spans="1:10" ht="15.6" x14ac:dyDescent="0.3">
      <c r="A18" s="102"/>
      <c r="B18" s="98" t="s">
        <v>16</v>
      </c>
      <c r="C18" s="30" t="s">
        <v>20</v>
      </c>
      <c r="D18" s="31" t="s">
        <v>21</v>
      </c>
      <c r="E18" s="32">
        <v>30</v>
      </c>
      <c r="F18" s="33">
        <v>2.0099999999999998</v>
      </c>
      <c r="G18" s="26">
        <f>42*30/20</f>
        <v>63</v>
      </c>
      <c r="H18" s="26">
        <f>0.98*30/20</f>
        <v>1.47</v>
      </c>
      <c r="I18" s="26">
        <f>0.2*30/20</f>
        <v>0.3</v>
      </c>
      <c r="J18" s="27">
        <f>8.96*30/20</f>
        <v>13.440000000000001</v>
      </c>
    </row>
    <row r="19" spans="1:10" ht="15.6" x14ac:dyDescent="0.3">
      <c r="A19" s="103"/>
      <c r="B19" s="99" t="s">
        <v>17</v>
      </c>
      <c r="C19" s="30" t="s">
        <v>20</v>
      </c>
      <c r="D19" s="31" t="s">
        <v>24</v>
      </c>
      <c r="E19" s="32">
        <v>30</v>
      </c>
      <c r="F19" s="33">
        <f>94.32*0.03</f>
        <v>2.8295999999999997</v>
      </c>
      <c r="G19" s="26">
        <f>47*30/20</f>
        <v>70.5</v>
      </c>
      <c r="H19" s="26">
        <f>1.52*30/20</f>
        <v>2.2800000000000002</v>
      </c>
      <c r="I19" s="26">
        <f>0.16*30/20</f>
        <v>0.24</v>
      </c>
      <c r="J19" s="27">
        <f>9.84*30/20</f>
        <v>14.76</v>
      </c>
    </row>
    <row r="20" spans="1:10" ht="16.2" thickBot="1" x14ac:dyDescent="0.35">
      <c r="A20" s="104"/>
      <c r="B20" s="100"/>
      <c r="C20" s="77"/>
      <c r="D20" s="78"/>
      <c r="E20" s="79"/>
      <c r="F20" s="114">
        <f>SUM(F15:F19)</f>
        <v>110.00008790896159</v>
      </c>
      <c r="G20" s="81">
        <f>SUM(G15:G19)</f>
        <v>730.48</v>
      </c>
      <c r="H20" s="81">
        <f>SUM(H15:H19)</f>
        <v>28.610000000000003</v>
      </c>
      <c r="I20" s="81">
        <f>SUM(I15:I19)</f>
        <v>26.704999999999998</v>
      </c>
      <c r="J20" s="82">
        <f>SUM(J15:J19)</f>
        <v>93.25500000000001</v>
      </c>
    </row>
    <row r="21" spans="1:10" ht="28.8" x14ac:dyDescent="0.3">
      <c r="A21" s="106"/>
      <c r="B21" s="101" t="s">
        <v>13</v>
      </c>
      <c r="C21" s="43">
        <v>4</v>
      </c>
      <c r="D21" s="44" t="s">
        <v>46</v>
      </c>
      <c r="E21" s="18" t="s">
        <v>55</v>
      </c>
      <c r="F21" s="19">
        <f>54.78/100*50</f>
        <v>27.390000000000004</v>
      </c>
      <c r="G21" s="46">
        <f>13/100*50</f>
        <v>6.5</v>
      </c>
      <c r="H21" s="46">
        <f>0.8/100*50</f>
        <v>0.4</v>
      </c>
      <c r="I21" s="46">
        <f>0.1/100*50</f>
        <v>0.05</v>
      </c>
      <c r="J21" s="47">
        <f>1.7/100*50</f>
        <v>0.85000000000000009</v>
      </c>
    </row>
    <row r="22" spans="1:10" ht="28.8" x14ac:dyDescent="0.3">
      <c r="A22" s="102"/>
      <c r="B22" s="98" t="s">
        <v>14</v>
      </c>
      <c r="C22" s="62">
        <v>33</v>
      </c>
      <c r="D22" s="63" t="s">
        <v>47</v>
      </c>
      <c r="E22" s="64" t="s">
        <v>56</v>
      </c>
      <c r="F22" s="33">
        <f>16.82*235/245+2.53+7.82*1</f>
        <v>26.483469387755104</v>
      </c>
      <c r="G22" s="26">
        <v>100</v>
      </c>
      <c r="H22" s="26">
        <v>1.82</v>
      </c>
      <c r="I22" s="26">
        <v>6.18</v>
      </c>
      <c r="J22" s="27">
        <v>7.73</v>
      </c>
    </row>
    <row r="23" spans="1:10" ht="15.6" x14ac:dyDescent="0.3">
      <c r="A23" s="102"/>
      <c r="B23" s="98" t="s">
        <v>15</v>
      </c>
      <c r="C23" s="62">
        <v>21</v>
      </c>
      <c r="D23" s="63" t="s">
        <v>38</v>
      </c>
      <c r="E23" s="64" t="s">
        <v>50</v>
      </c>
      <c r="F23" s="33">
        <f>92.33/95*48+19.25/185*232</f>
        <v>70.791487908961585</v>
      </c>
      <c r="G23" s="26">
        <v>509.83</v>
      </c>
      <c r="H23" s="26">
        <v>23.98</v>
      </c>
      <c r="I23" s="26">
        <v>26.11</v>
      </c>
      <c r="J23" s="27">
        <v>45.22</v>
      </c>
    </row>
    <row r="24" spans="1:10" ht="15.6" x14ac:dyDescent="0.3">
      <c r="A24" s="102"/>
      <c r="B24" s="29" t="s">
        <v>23</v>
      </c>
      <c r="C24" s="62">
        <v>17</v>
      </c>
      <c r="D24" s="63" t="s">
        <v>36</v>
      </c>
      <c r="E24" s="64" t="s">
        <v>37</v>
      </c>
      <c r="F24" s="33">
        <v>4.24</v>
      </c>
      <c r="G24" s="26">
        <v>80</v>
      </c>
      <c r="H24" s="26">
        <v>0.44</v>
      </c>
      <c r="I24" s="26">
        <v>0</v>
      </c>
      <c r="J24" s="27">
        <v>18.899999999999999</v>
      </c>
    </row>
    <row r="25" spans="1:10" ht="15.6" x14ac:dyDescent="0.3">
      <c r="A25" s="102"/>
      <c r="B25" s="98" t="s">
        <v>16</v>
      </c>
      <c r="C25" s="30" t="s">
        <v>20</v>
      </c>
      <c r="D25" s="31" t="s">
        <v>21</v>
      </c>
      <c r="E25" s="32">
        <v>37</v>
      </c>
      <c r="F25" s="33">
        <f>69.05*0.037</f>
        <v>2.5548499999999996</v>
      </c>
      <c r="G25" s="26">
        <f>42*37/20</f>
        <v>77.7</v>
      </c>
      <c r="H25" s="26">
        <f>0.98*37/20</f>
        <v>1.8129999999999999</v>
      </c>
      <c r="I25" s="26">
        <f>0.2*37/20</f>
        <v>0.37</v>
      </c>
      <c r="J25" s="27">
        <f>8.96*37/20</f>
        <v>16.576000000000001</v>
      </c>
    </row>
    <row r="26" spans="1:10" ht="15.6" x14ac:dyDescent="0.3">
      <c r="A26" s="103"/>
      <c r="B26" s="99" t="s">
        <v>17</v>
      </c>
      <c r="C26" s="30" t="s">
        <v>20</v>
      </c>
      <c r="D26" s="31" t="s">
        <v>24</v>
      </c>
      <c r="E26" s="32">
        <v>38</v>
      </c>
      <c r="F26" s="33">
        <v>3.54</v>
      </c>
      <c r="G26" s="26">
        <f>47*38/20</f>
        <v>89.3</v>
      </c>
      <c r="H26" s="26">
        <f>1.52*38/20</f>
        <v>2.8879999999999999</v>
      </c>
      <c r="I26" s="26">
        <f>0.16*38/20</f>
        <v>0.30399999999999999</v>
      </c>
      <c r="J26" s="27">
        <f>9.84*38/20</f>
        <v>18.696000000000002</v>
      </c>
    </row>
    <row r="27" spans="1:10" ht="16.2" thickBot="1" x14ac:dyDescent="0.35">
      <c r="A27" s="104"/>
      <c r="B27" s="83"/>
      <c r="C27" s="83"/>
      <c r="D27" s="83"/>
      <c r="E27" s="84"/>
      <c r="F27" s="114">
        <f>SUM(F21:F26)</f>
        <v>134.99980729671668</v>
      </c>
      <c r="G27" s="81">
        <f>SUM(G21:G26)</f>
        <v>863.32999999999993</v>
      </c>
      <c r="H27" s="81">
        <f>SUM(H22:H26)</f>
        <v>30.941000000000003</v>
      </c>
      <c r="I27" s="81">
        <f>SUM(I22:I26)</f>
        <v>32.963999999999999</v>
      </c>
      <c r="J27" s="82">
        <f>SUM(J22:J26)</f>
        <v>107.12199999999999</v>
      </c>
    </row>
    <row r="28" spans="1:10" customFormat="1" ht="22.2" customHeight="1" x14ac:dyDescent="0.3">
      <c r="A28" s="15" t="s">
        <v>48</v>
      </c>
      <c r="B28" s="15"/>
      <c r="C28" s="15"/>
      <c r="D28" s="15"/>
      <c r="E28" s="8"/>
      <c r="F28" s="8"/>
      <c r="G28" s="7"/>
      <c r="H28" s="7"/>
      <c r="I28" s="7"/>
      <c r="J28" s="7"/>
    </row>
    <row r="29" spans="1:10" customFormat="1" ht="22.2" customHeight="1" x14ac:dyDescent="0.3">
      <c r="A29" s="15" t="s">
        <v>30</v>
      </c>
      <c r="B29" s="15"/>
      <c r="C29" s="15"/>
      <c r="D29" s="15"/>
      <c r="E29" s="8"/>
      <c r="F29" s="8"/>
      <c r="G29" s="7"/>
      <c r="H29" s="7"/>
      <c r="I29" s="7"/>
      <c r="J29" s="7"/>
    </row>
    <row r="31" spans="1:10" customFormat="1" x14ac:dyDescent="0.3">
      <c r="A31" s="7"/>
      <c r="B31" s="7"/>
      <c r="C31" s="7"/>
      <c r="D31" s="7"/>
      <c r="E31" s="8"/>
      <c r="F31" s="8"/>
      <c r="G31" s="7"/>
      <c r="H31" s="7"/>
      <c r="I31" s="7"/>
      <c r="J31" s="7"/>
    </row>
    <row r="32" spans="1:10" customFormat="1" x14ac:dyDescent="0.3">
      <c r="A32" s="7"/>
      <c r="B32" s="7"/>
      <c r="C32" s="7"/>
      <c r="D32" s="7"/>
      <c r="E32" s="8"/>
      <c r="F32" s="8"/>
      <c r="G32" s="7"/>
      <c r="H32" s="7"/>
      <c r="I32" s="7"/>
      <c r="J32" s="7"/>
    </row>
  </sheetData>
  <mergeCells count="1">
    <mergeCell ref="B1:D1"/>
  </mergeCells>
  <pageMargins left="0.31496062992125984" right="0.31496062992125984" top="0.31496062992125984" bottom="0.31496062992125984" header="0" footer="0"/>
  <pageSetup paperSize="9" scale="8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бесплатно</vt:lpstr>
      <vt:lpstr>платно</vt:lpstr>
      <vt:lpstr>бесплатно!Область_печати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Krapivina Mariya</cp:lastModifiedBy>
  <cp:lastPrinted>2024-12-03T03:38:08Z</cp:lastPrinted>
  <dcterms:created xsi:type="dcterms:W3CDTF">2015-06-05T18:19:34Z</dcterms:created>
  <dcterms:modified xsi:type="dcterms:W3CDTF">2025-05-07T08:24:42Z</dcterms:modified>
</cp:coreProperties>
</file>